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0490" windowHeight="7650" tabRatio="842" firstSheet="1" activeTab="2"/>
  </bookViews>
  <sheets>
    <sheet name="протокол регистрации" sheetId="1" r:id="rId1"/>
    <sheet name="Д2Н" sheetId="2" r:id="rId2"/>
    <sheet name="2000" sheetId="3" r:id="rId3"/>
    <sheet name="трек 16Х4" sheetId="9" r:id="rId4"/>
    <sheet name="трек 13Х4" sheetId="10" r:id="rId5"/>
    <sheet name="список победителей" sheetId="5" r:id="rId6"/>
    <sheet name="команды победители" sheetId="6" r:id="rId7"/>
    <sheet name="таблица Б" sheetId="7" r:id="rId8"/>
    <sheet name="база участников" sheetId="8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O11" i="3"/>
  <c r="L7" i="3"/>
  <c r="L8" i="3"/>
  <c r="L9" i="3"/>
  <c r="L10" i="3"/>
  <c r="L11" i="3"/>
  <c r="O8" i="2"/>
  <c r="O9" i="2"/>
  <c r="O10" i="2"/>
  <c r="O11" i="2"/>
  <c r="O12" i="2"/>
  <c r="O13" i="2"/>
  <c r="O14" i="2"/>
  <c r="O15" i="2"/>
  <c r="O16" i="2"/>
  <c r="O7" i="2"/>
  <c r="P12" i="2"/>
  <c r="L8" i="2"/>
  <c r="L9" i="2"/>
  <c r="L10" i="2"/>
  <c r="L11" i="2"/>
  <c r="L12" i="2"/>
  <c r="L13" i="2"/>
  <c r="L14" i="2"/>
  <c r="L15" i="2"/>
  <c r="L16" i="2"/>
  <c r="I8" i="2"/>
  <c r="I9" i="2"/>
  <c r="I10" i="2"/>
  <c r="I11" i="2"/>
  <c r="I12" i="2"/>
  <c r="I13" i="2"/>
  <c r="I14" i="2"/>
  <c r="I15" i="2"/>
  <c r="I16" i="2"/>
  <c r="I7" i="2"/>
  <c r="L7" i="2"/>
  <c r="F9" i="2"/>
  <c r="F10" i="2"/>
  <c r="F11" i="2"/>
  <c r="F12" i="2"/>
  <c r="F13" i="2"/>
  <c r="F14" i="2"/>
  <c r="F16" i="2"/>
  <c r="F7" i="2"/>
  <c r="F8" i="2" l="1"/>
  <c r="P2" i="3" l="1"/>
  <c r="P2" i="2" l="1"/>
  <c r="D8" i="2"/>
  <c r="D7" i="2"/>
  <c r="E30" i="1"/>
  <c r="E29" i="1"/>
  <c r="E28" i="1"/>
  <c r="E27" i="1"/>
  <c r="E26" i="1"/>
  <c r="E13" i="1"/>
  <c r="E12" i="1"/>
  <c r="E11" i="1"/>
  <c r="E10" i="1"/>
  <c r="E9" i="1"/>
  <c r="E8" i="1"/>
  <c r="E7" i="1"/>
  <c r="E6" i="1"/>
  <c r="E5" i="1"/>
  <c r="F2" i="6"/>
  <c r="B2" i="6"/>
  <c r="A1" i="6"/>
  <c r="D2" i="5"/>
  <c r="B2" i="5"/>
  <c r="B1" i="5"/>
  <c r="F2" i="3"/>
  <c r="F2" i="2"/>
  <c r="A1" i="3"/>
  <c r="D9" i="2"/>
  <c r="D10" i="2"/>
  <c r="D11" i="2"/>
  <c r="F6" i="6" s="1"/>
  <c r="G6" i="6" s="1"/>
  <c r="H6" i="6" s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8" i="3"/>
  <c r="D10" i="3"/>
  <c r="D11" i="3"/>
  <c r="E23" i="6" s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7" i="3"/>
  <c r="W37" i="3"/>
  <c r="U37" i="3"/>
  <c r="S37" i="3"/>
  <c r="X35" i="3"/>
  <c r="V35" i="3"/>
  <c r="T35" i="3"/>
  <c r="S35" i="3"/>
  <c r="W33" i="3"/>
  <c r="U33" i="3"/>
  <c r="S33" i="3"/>
  <c r="X31" i="3"/>
  <c r="V31" i="3"/>
  <c r="T31" i="3"/>
  <c r="S31" i="3"/>
  <c r="W29" i="3"/>
  <c r="U29" i="3"/>
  <c r="S29" i="3"/>
  <c r="X27" i="3"/>
  <c r="V27" i="3"/>
  <c r="T27" i="3"/>
  <c r="S27" i="3"/>
  <c r="Q26" i="3"/>
  <c r="P26" i="3"/>
  <c r="F26" i="3"/>
  <c r="W25" i="3"/>
  <c r="U25" i="3"/>
  <c r="S25" i="3"/>
  <c r="Q25" i="3"/>
  <c r="P25" i="3"/>
  <c r="F25" i="3"/>
  <c r="Q24" i="3"/>
  <c r="P24" i="3"/>
  <c r="F24" i="3"/>
  <c r="X23" i="3"/>
  <c r="V23" i="3"/>
  <c r="T23" i="3"/>
  <c r="S23" i="3"/>
  <c r="Q23" i="3"/>
  <c r="P23" i="3"/>
  <c r="F23" i="3"/>
  <c r="Q22" i="3"/>
  <c r="P22" i="3"/>
  <c r="F22" i="3"/>
  <c r="T21" i="3"/>
  <c r="Q21" i="3"/>
  <c r="P21" i="3"/>
  <c r="F21" i="3"/>
  <c r="Q20" i="3"/>
  <c r="P20" i="3"/>
  <c r="F20" i="3"/>
  <c r="AD19" i="3"/>
  <c r="AB19" i="3"/>
  <c r="Z19" i="3"/>
  <c r="S19" i="3"/>
  <c r="Q19" i="3"/>
  <c r="P19" i="3"/>
  <c r="F19" i="3"/>
  <c r="Q18" i="3"/>
  <c r="P18" i="3"/>
  <c r="F18" i="3"/>
  <c r="AE17" i="3"/>
  <c r="AC17" i="3"/>
  <c r="AA17" i="3"/>
  <c r="Z17" i="3"/>
  <c r="S17" i="3"/>
  <c r="Q17" i="3"/>
  <c r="P17" i="3"/>
  <c r="F17" i="3"/>
  <c r="Q16" i="3"/>
  <c r="P16" i="3"/>
  <c r="F16" i="3"/>
  <c r="AD15" i="3"/>
  <c r="AB15" i="3"/>
  <c r="Z15" i="3"/>
  <c r="S15" i="3"/>
  <c r="Q15" i="3"/>
  <c r="P15" i="3"/>
  <c r="F15" i="3"/>
  <c r="Q14" i="3"/>
  <c r="P14" i="3"/>
  <c r="F14" i="3"/>
  <c r="AE13" i="3"/>
  <c r="AC13" i="3"/>
  <c r="AA13" i="3"/>
  <c r="Z13" i="3"/>
  <c r="S13" i="3"/>
  <c r="Q13" i="3"/>
  <c r="P13" i="3"/>
  <c r="F13" i="3"/>
  <c r="F12" i="3"/>
  <c r="AD11" i="3"/>
  <c r="AB11" i="3"/>
  <c r="Z11" i="3"/>
  <c r="S11" i="3"/>
  <c r="F11" i="3"/>
  <c r="F10" i="3"/>
  <c r="AE9" i="3"/>
  <c r="AC9" i="3"/>
  <c r="AA9" i="3"/>
  <c r="Z9" i="3"/>
  <c r="S9" i="3"/>
  <c r="F9" i="3"/>
  <c r="F8" i="3"/>
  <c r="T9" i="3" s="1"/>
  <c r="AD7" i="3"/>
  <c r="AB7" i="3"/>
  <c r="Z7" i="3"/>
  <c r="S7" i="3"/>
  <c r="F7" i="3"/>
  <c r="AE5" i="3"/>
  <c r="AC5" i="3"/>
  <c r="AA5" i="3"/>
  <c r="Z5" i="3"/>
  <c r="S5" i="3"/>
  <c r="C4" i="3"/>
  <c r="L26" i="3"/>
  <c r="AA1" i="3"/>
  <c r="T1" i="3"/>
  <c r="C4" i="2"/>
  <c r="P8" i="2" s="1"/>
  <c r="E7" i="10"/>
  <c r="E8" i="10"/>
  <c r="E9" i="10"/>
  <c r="E10" i="10"/>
  <c r="E11" i="10"/>
  <c r="E12" i="10"/>
  <c r="E13" i="10"/>
  <c r="E14" i="10"/>
  <c r="E15" i="10"/>
  <c r="E16" i="10"/>
  <c r="E17" i="10"/>
  <c r="E18" i="10"/>
  <c r="E6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6" i="9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4" i="1"/>
  <c r="E15" i="1"/>
  <c r="E16" i="1"/>
  <c r="E17" i="1"/>
  <c r="E18" i="1"/>
  <c r="E19" i="1"/>
  <c r="E20" i="1"/>
  <c r="E21" i="1"/>
  <c r="E22" i="1"/>
  <c r="E23" i="1"/>
  <c r="E24" i="1"/>
  <c r="B8" i="3"/>
  <c r="C8" i="3"/>
  <c r="B9" i="3"/>
  <c r="C9" i="3"/>
  <c r="B10" i="3"/>
  <c r="C10" i="3"/>
  <c r="B11" i="3"/>
  <c r="C11" i="3"/>
  <c r="B32" i="1"/>
  <c r="B13" i="3"/>
  <c r="C32" i="1"/>
  <c r="C13" i="3"/>
  <c r="B33" i="1"/>
  <c r="B14" i="3"/>
  <c r="C33" i="1"/>
  <c r="C14" i="3"/>
  <c r="B34" i="1"/>
  <c r="B15" i="3"/>
  <c r="C34" i="1"/>
  <c r="C15" i="3"/>
  <c r="B35" i="1"/>
  <c r="B16" i="3"/>
  <c r="C35" i="1"/>
  <c r="C16" i="3"/>
  <c r="B36" i="1"/>
  <c r="B17" i="3"/>
  <c r="C36" i="1"/>
  <c r="C17" i="3"/>
  <c r="B37" i="1"/>
  <c r="B18" i="3"/>
  <c r="C37" i="1"/>
  <c r="C18" i="3"/>
  <c r="B38" i="1"/>
  <c r="B19" i="3"/>
  <c r="C38" i="1"/>
  <c r="C19" i="3"/>
  <c r="B39" i="1"/>
  <c r="B20" i="3"/>
  <c r="C39" i="1"/>
  <c r="C20" i="3"/>
  <c r="B40" i="1"/>
  <c r="B21" i="3"/>
  <c r="C40" i="1"/>
  <c r="C21" i="3"/>
  <c r="B41" i="1"/>
  <c r="B22" i="3"/>
  <c r="C41" i="1"/>
  <c r="C22" i="3"/>
  <c r="B42" i="1"/>
  <c r="B23" i="3"/>
  <c r="C42" i="1"/>
  <c r="C23" i="3"/>
  <c r="B43" i="1"/>
  <c r="B24" i="3"/>
  <c r="C43" i="1"/>
  <c r="C24" i="3"/>
  <c r="B44" i="1"/>
  <c r="B25" i="3"/>
  <c r="C44" i="1"/>
  <c r="C25" i="3"/>
  <c r="B45" i="1"/>
  <c r="B26" i="3"/>
  <c r="C45" i="1"/>
  <c r="C26" i="3"/>
  <c r="B46" i="1"/>
  <c r="C46" i="1"/>
  <c r="C7" i="3"/>
  <c r="B7" i="3"/>
  <c r="B7" i="9"/>
  <c r="C7" i="9"/>
  <c r="B9" i="2"/>
  <c r="C9" i="2"/>
  <c r="C8" i="9"/>
  <c r="C9" i="10"/>
  <c r="C9" i="9"/>
  <c r="B11" i="2"/>
  <c r="C11" i="2"/>
  <c r="C10" i="9"/>
  <c r="B12" i="2"/>
  <c r="C12" i="2"/>
  <c r="C11" i="10"/>
  <c r="B13" i="2"/>
  <c r="B14" i="2"/>
  <c r="C13" i="9"/>
  <c r="B14" i="9"/>
  <c r="C15" i="2"/>
  <c r="C14" i="9"/>
  <c r="B15" i="9"/>
  <c r="C15" i="10"/>
  <c r="B15" i="1"/>
  <c r="B16" i="10" s="1"/>
  <c r="C15" i="1"/>
  <c r="B16" i="1"/>
  <c r="C16" i="1"/>
  <c r="C18" i="2" s="1"/>
  <c r="B17" i="1"/>
  <c r="B18" i="10"/>
  <c r="C17" i="1"/>
  <c r="C19" i="2"/>
  <c r="B18" i="1"/>
  <c r="B20" i="2"/>
  <c r="B19" i="9"/>
  <c r="C18" i="1"/>
  <c r="C20" i="2" s="1"/>
  <c r="B19" i="1"/>
  <c r="B21" i="2" s="1"/>
  <c r="C19" i="1"/>
  <c r="C21" i="2"/>
  <c r="C20" i="9"/>
  <c r="B20" i="1"/>
  <c r="C20" i="1"/>
  <c r="C21" i="9" s="1"/>
  <c r="B21" i="1"/>
  <c r="B23" i="2" s="1"/>
  <c r="C21" i="1"/>
  <c r="C23" i="2" s="1"/>
  <c r="B22" i="1"/>
  <c r="B24" i="2" s="1"/>
  <c r="C22" i="1"/>
  <c r="C24" i="2" s="1"/>
  <c r="B23" i="1"/>
  <c r="B25" i="2" s="1"/>
  <c r="C23" i="1"/>
  <c r="C25" i="2" s="1"/>
  <c r="B24" i="1"/>
  <c r="B26" i="2" s="1"/>
  <c r="C24" i="1"/>
  <c r="C26" i="2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A6" i="9"/>
  <c r="BI18" i="10"/>
  <c r="BH18" i="10"/>
  <c r="BG18" i="10"/>
  <c r="BF18" i="10"/>
  <c r="BJ18" i="10" s="1"/>
  <c r="BI17" i="10"/>
  <c r="BH17" i="10"/>
  <c r="BG17" i="10"/>
  <c r="BF17" i="10"/>
  <c r="BJ17" i="10"/>
  <c r="BI16" i="10"/>
  <c r="BH16" i="10"/>
  <c r="BG16" i="10"/>
  <c r="BF16" i="10"/>
  <c r="BJ16" i="10" s="1"/>
  <c r="BI15" i="10"/>
  <c r="BH15" i="10"/>
  <c r="BG15" i="10"/>
  <c r="BF15" i="10"/>
  <c r="BJ15" i="10"/>
  <c r="BI14" i="10"/>
  <c r="BH14" i="10"/>
  <c r="BG14" i="10"/>
  <c r="BF14" i="10"/>
  <c r="BJ14" i="10" s="1"/>
  <c r="BI13" i="10"/>
  <c r="BH13" i="10"/>
  <c r="BG13" i="10"/>
  <c r="BF13" i="10"/>
  <c r="BJ13" i="10"/>
  <c r="BI12" i="10"/>
  <c r="BH12" i="10"/>
  <c r="BG12" i="10"/>
  <c r="BF12" i="10"/>
  <c r="BJ12" i="10" s="1"/>
  <c r="BI11" i="10"/>
  <c r="BH11" i="10"/>
  <c r="BG11" i="10"/>
  <c r="BF11" i="10"/>
  <c r="BJ11" i="10" s="1"/>
  <c r="BI10" i="10"/>
  <c r="BH10" i="10"/>
  <c r="BG10" i="10"/>
  <c r="BF10" i="10"/>
  <c r="BJ10" i="10" s="1"/>
  <c r="BI9" i="10"/>
  <c r="BH9" i="10"/>
  <c r="BG9" i="10"/>
  <c r="BF9" i="10"/>
  <c r="BJ9" i="10"/>
  <c r="BI8" i="10"/>
  <c r="BH8" i="10"/>
  <c r="BG8" i="10"/>
  <c r="BF8" i="10"/>
  <c r="BJ8" i="10" s="1"/>
  <c r="BI7" i="10"/>
  <c r="BH7" i="10"/>
  <c r="BG7" i="10"/>
  <c r="BF7" i="10"/>
  <c r="BJ7" i="10" s="1"/>
  <c r="BI6" i="10"/>
  <c r="BH6" i="10"/>
  <c r="BG6" i="10"/>
  <c r="BF6" i="10"/>
  <c r="BJ6" i="10" s="1"/>
  <c r="BI5" i="10"/>
  <c r="BH5" i="10"/>
  <c r="BG5" i="10"/>
  <c r="BF5" i="10"/>
  <c r="CK21" i="9"/>
  <c r="CJ21" i="9"/>
  <c r="CI21" i="9"/>
  <c r="CH21" i="9"/>
  <c r="CL21" i="9"/>
  <c r="CK20" i="9"/>
  <c r="CJ20" i="9"/>
  <c r="CI20" i="9"/>
  <c r="CH20" i="9"/>
  <c r="CL20" i="9" s="1"/>
  <c r="CK19" i="9"/>
  <c r="CJ19" i="9"/>
  <c r="CI19" i="9"/>
  <c r="CH19" i="9"/>
  <c r="CL19" i="9"/>
  <c r="CK18" i="9"/>
  <c r="CJ18" i="9"/>
  <c r="CI18" i="9"/>
  <c r="CH18" i="9"/>
  <c r="CL18" i="9" s="1"/>
  <c r="CK17" i="9"/>
  <c r="CJ17" i="9"/>
  <c r="CI17" i="9"/>
  <c r="CH17" i="9"/>
  <c r="CL17" i="9"/>
  <c r="CK16" i="9"/>
  <c r="CJ16" i="9"/>
  <c r="CI16" i="9"/>
  <c r="CL16" i="9"/>
  <c r="CH16" i="9"/>
  <c r="CK15" i="9"/>
  <c r="CJ15" i="9"/>
  <c r="CI15" i="9"/>
  <c r="CH15" i="9"/>
  <c r="CL15" i="9"/>
  <c r="CK14" i="9"/>
  <c r="CJ14" i="9"/>
  <c r="CI14" i="9"/>
  <c r="CH14" i="9"/>
  <c r="CL14" i="9" s="1"/>
  <c r="CK13" i="9"/>
  <c r="CJ13" i="9"/>
  <c r="CI13" i="9"/>
  <c r="CH13" i="9"/>
  <c r="CL13" i="9"/>
  <c r="CK12" i="9"/>
  <c r="CJ12" i="9"/>
  <c r="CI12" i="9"/>
  <c r="CH12" i="9"/>
  <c r="CL12" i="9" s="1"/>
  <c r="CK11" i="9"/>
  <c r="CJ11" i="9"/>
  <c r="CI11" i="9"/>
  <c r="CH11" i="9"/>
  <c r="CL11" i="9"/>
  <c r="CK10" i="9"/>
  <c r="CJ10" i="9"/>
  <c r="CI10" i="9"/>
  <c r="CH10" i="9"/>
  <c r="CL10" i="9" s="1"/>
  <c r="CK9" i="9"/>
  <c r="CJ9" i="9"/>
  <c r="CI9" i="9"/>
  <c r="CH9" i="9"/>
  <c r="CL9" i="9"/>
  <c r="CK8" i="9"/>
  <c r="CJ8" i="9"/>
  <c r="CI8" i="9"/>
  <c r="CH8" i="9"/>
  <c r="CL8" i="9" s="1"/>
  <c r="CK7" i="9"/>
  <c r="CJ7" i="9"/>
  <c r="CI7" i="9"/>
  <c r="CH7" i="9"/>
  <c r="CL7" i="9"/>
  <c r="CK6" i="9"/>
  <c r="CJ6" i="9"/>
  <c r="CI6" i="9"/>
  <c r="CH6" i="9"/>
  <c r="CL6" i="9" s="1"/>
  <c r="CK5" i="9"/>
  <c r="CJ5" i="9"/>
  <c r="CI5" i="9"/>
  <c r="CH5" i="9"/>
  <c r="F26" i="2"/>
  <c r="F25" i="2"/>
  <c r="F24" i="2"/>
  <c r="F23" i="2"/>
  <c r="F22" i="2"/>
  <c r="F21" i="2"/>
  <c r="F20" i="2"/>
  <c r="F18" i="2"/>
  <c r="F17" i="2"/>
  <c r="T5" i="2"/>
  <c r="AD19" i="2"/>
  <c r="AB19" i="2"/>
  <c r="Z19" i="2"/>
  <c r="AE17" i="2"/>
  <c r="AC17" i="2"/>
  <c r="AA17" i="2"/>
  <c r="Z17" i="2"/>
  <c r="AD15" i="2"/>
  <c r="AB15" i="2"/>
  <c r="AE13" i="2"/>
  <c r="AC13" i="2"/>
  <c r="AA13" i="2"/>
  <c r="AD11" i="2"/>
  <c r="AB11" i="2"/>
  <c r="AE9" i="2"/>
  <c r="AC9" i="2"/>
  <c r="AA9" i="2"/>
  <c r="AD7" i="2"/>
  <c r="AB7" i="2"/>
  <c r="W37" i="2"/>
  <c r="U37" i="2"/>
  <c r="S37" i="2"/>
  <c r="X35" i="2"/>
  <c r="V35" i="2"/>
  <c r="T35" i="2"/>
  <c r="S35" i="2"/>
  <c r="W33" i="2"/>
  <c r="U33" i="2"/>
  <c r="S33" i="2"/>
  <c r="X31" i="2"/>
  <c r="V31" i="2"/>
  <c r="T31" i="2"/>
  <c r="S31" i="2"/>
  <c r="W29" i="2"/>
  <c r="U29" i="2"/>
  <c r="S29" i="2"/>
  <c r="X27" i="2"/>
  <c r="V27" i="2"/>
  <c r="T27" i="2"/>
  <c r="S27" i="2"/>
  <c r="W25" i="2"/>
  <c r="U25" i="2"/>
  <c r="S25" i="2"/>
  <c r="S19" i="2"/>
  <c r="S17" i="2"/>
  <c r="S15" i="2"/>
  <c r="S13" i="2"/>
  <c r="S11" i="2"/>
  <c r="S9" i="2"/>
  <c r="S7" i="2"/>
  <c r="Z15" i="2"/>
  <c r="Z13" i="2"/>
  <c r="Z11" i="2"/>
  <c r="Z9" i="2"/>
  <c r="Z7" i="2"/>
  <c r="Q18" i="2"/>
  <c r="Q19" i="2"/>
  <c r="Q20" i="2"/>
  <c r="Q21" i="2"/>
  <c r="Q22" i="2"/>
  <c r="Q23" i="2"/>
  <c r="Q24" i="2"/>
  <c r="Q25" i="2"/>
  <c r="Q26" i="2"/>
  <c r="P23" i="2"/>
  <c r="P19" i="2"/>
  <c r="P17" i="2"/>
  <c r="AE5" i="2"/>
  <c r="AC5" i="2"/>
  <c r="AA5" i="2"/>
  <c r="Z5" i="2"/>
  <c r="AA1" i="2"/>
  <c r="X23" i="2"/>
  <c r="V23" i="2"/>
  <c r="T23" i="2"/>
  <c r="S23" i="2"/>
  <c r="T21" i="2"/>
  <c r="S5" i="2"/>
  <c r="T1" i="2"/>
  <c r="P18" i="2"/>
  <c r="P20" i="2"/>
  <c r="P21" i="2"/>
  <c r="P22" i="2"/>
  <c r="P24" i="2"/>
  <c r="P25" i="2"/>
  <c r="P26" i="2"/>
  <c r="Q17" i="2"/>
  <c r="B12" i="10"/>
  <c r="C8" i="10"/>
  <c r="B13" i="10"/>
  <c r="B13" i="9"/>
  <c r="C11" i="9"/>
  <c r="B8" i="10"/>
  <c r="C6" i="9"/>
  <c r="C14" i="10"/>
  <c r="C13" i="10"/>
  <c r="C10" i="10"/>
  <c r="W19" i="3"/>
  <c r="U19" i="3"/>
  <c r="W15" i="3"/>
  <c r="T17" i="3"/>
  <c r="V17" i="3"/>
  <c r="U15" i="3"/>
  <c r="X17" i="3"/>
  <c r="U11" i="3"/>
  <c r="W11" i="3"/>
  <c r="V13" i="3"/>
  <c r="X13" i="3"/>
  <c r="T13" i="3"/>
  <c r="U7" i="3"/>
  <c r="O7" i="3"/>
  <c r="P7" i="3" s="1"/>
  <c r="I8" i="3"/>
  <c r="I9" i="3"/>
  <c r="I10" i="3"/>
  <c r="I11" i="3"/>
  <c r="O12" i="3"/>
  <c r="O13" i="3"/>
  <c r="O14" i="3"/>
  <c r="O15" i="3"/>
  <c r="I16" i="3"/>
  <c r="I17" i="3"/>
  <c r="I18" i="3"/>
  <c r="I19" i="3"/>
  <c r="O20" i="3"/>
  <c r="O21" i="3"/>
  <c r="L22" i="3"/>
  <c r="L23" i="3"/>
  <c r="L24" i="3"/>
  <c r="L25" i="3"/>
  <c r="O26" i="3"/>
  <c r="L16" i="3"/>
  <c r="L17" i="3"/>
  <c r="L18" i="3"/>
  <c r="L19" i="3"/>
  <c r="O22" i="3"/>
  <c r="O23" i="3"/>
  <c r="O24" i="3"/>
  <c r="O25" i="3"/>
  <c r="I7" i="3"/>
  <c r="O8" i="3"/>
  <c r="O9" i="3"/>
  <c r="O10" i="3"/>
  <c r="I12" i="3"/>
  <c r="I13" i="3"/>
  <c r="I14" i="3"/>
  <c r="I15" i="3"/>
  <c r="O16" i="3"/>
  <c r="O17" i="3"/>
  <c r="O18" i="3"/>
  <c r="O19" i="3"/>
  <c r="I20" i="3"/>
  <c r="I21" i="3"/>
  <c r="I26" i="3"/>
  <c r="L12" i="3"/>
  <c r="L13" i="3"/>
  <c r="L14" i="3"/>
  <c r="L15" i="3"/>
  <c r="L20" i="3"/>
  <c r="L21" i="3"/>
  <c r="I22" i="3"/>
  <c r="I23" i="3"/>
  <c r="I24" i="3"/>
  <c r="I25" i="3"/>
  <c r="X13" i="2"/>
  <c r="V17" i="2"/>
  <c r="W11" i="2"/>
  <c r="T17" i="2"/>
  <c r="V13" i="2"/>
  <c r="W19" i="2"/>
  <c r="U11" i="2"/>
  <c r="X17" i="2"/>
  <c r="W15" i="2"/>
  <c r="U15" i="2"/>
  <c r="T13" i="2"/>
  <c r="U19" i="2"/>
  <c r="X5" i="2"/>
  <c r="V5" i="2"/>
  <c r="B7" i="10"/>
  <c r="C7" i="10"/>
  <c r="C8" i="2"/>
  <c r="B8" i="2"/>
  <c r="B19" i="2"/>
  <c r="B18" i="9"/>
  <c r="B16" i="2"/>
  <c r="C18" i="10"/>
  <c r="B10" i="10"/>
  <c r="B16" i="9"/>
  <c r="C18" i="9"/>
  <c r="B12" i="9"/>
  <c r="B8" i="9"/>
  <c r="C22" i="2"/>
  <c r="B17" i="2"/>
  <c r="C10" i="2"/>
  <c r="B15" i="2"/>
  <c r="B15" i="10"/>
  <c r="B14" i="10"/>
  <c r="B17" i="10"/>
  <c r="C19" i="9"/>
  <c r="C14" i="2"/>
  <c r="B10" i="9"/>
  <c r="F8" i="6"/>
  <c r="F18" i="6"/>
  <c r="F23" i="6"/>
  <c r="D8" i="6"/>
  <c r="D18" i="6"/>
  <c r="Q12" i="3" l="1"/>
  <c r="W7" i="3"/>
  <c r="V9" i="3"/>
  <c r="X5" i="3"/>
  <c r="T5" i="3"/>
  <c r="V5" i="3"/>
  <c r="X9" i="3"/>
  <c r="L23" i="2"/>
  <c r="L19" i="2"/>
  <c r="P7" i="2"/>
  <c r="P15" i="2"/>
  <c r="P11" i="2"/>
  <c r="D7" i="6"/>
  <c r="E16" i="6"/>
  <c r="L25" i="2"/>
  <c r="L21" i="2"/>
  <c r="L17" i="2"/>
  <c r="P13" i="2"/>
  <c r="P9" i="2"/>
  <c r="X9" i="2"/>
  <c r="T9" i="2"/>
  <c r="V9" i="2"/>
  <c r="U7" i="2"/>
  <c r="W7" i="2"/>
  <c r="D17" i="6"/>
  <c r="F22" i="6"/>
  <c r="E12" i="6"/>
  <c r="D6" i="6"/>
  <c r="D21" i="6"/>
  <c r="F7" i="6"/>
  <c r="D16" i="6"/>
  <c r="F13" i="6"/>
  <c r="D13" i="6"/>
  <c r="E13" i="6"/>
  <c r="C17" i="2"/>
  <c r="C16" i="9"/>
  <c r="C12" i="9"/>
  <c r="C13" i="2"/>
  <c r="B10" i="2"/>
  <c r="B9" i="10"/>
  <c r="B9" i="9"/>
  <c r="D23" i="6"/>
  <c r="F21" i="6"/>
  <c r="G21" i="6" s="1"/>
  <c r="H21" i="6" s="1"/>
  <c r="B6" i="10"/>
  <c r="B7" i="2"/>
  <c r="B6" i="9"/>
  <c r="E18" i="6"/>
  <c r="F12" i="6"/>
  <c r="E8" i="6"/>
  <c r="E6" i="6"/>
  <c r="E21" i="6"/>
  <c r="F16" i="6"/>
  <c r="G16" i="6" s="1"/>
  <c r="H16" i="6" s="1"/>
  <c r="E7" i="6"/>
  <c r="C16" i="10"/>
  <c r="E22" i="6"/>
  <c r="F17" i="6"/>
  <c r="F11" i="6"/>
  <c r="G11" i="6" s="1"/>
  <c r="H11" i="6" s="1"/>
  <c r="D11" i="6"/>
  <c r="C16" i="2"/>
  <c r="D22" i="6"/>
  <c r="E17" i="6"/>
  <c r="E11" i="6"/>
  <c r="D12" i="6"/>
  <c r="B11" i="10"/>
  <c r="C15" i="9"/>
  <c r="C17" i="10"/>
  <c r="B22" i="2"/>
  <c r="B21" i="9"/>
  <c r="B20" i="9"/>
  <c r="C17" i="9"/>
  <c r="B18" i="2"/>
  <c r="B17" i="9"/>
  <c r="C12" i="10"/>
  <c r="B11" i="9"/>
  <c r="C6" i="10"/>
  <c r="C7" i="2"/>
  <c r="L26" i="2"/>
  <c r="L24" i="2"/>
  <c r="L22" i="2"/>
  <c r="L20" i="2"/>
  <c r="L18" i="2"/>
  <c r="P16" i="2"/>
  <c r="P10" i="2"/>
  <c r="Q8" i="3" l="1"/>
  <c r="Q10" i="3"/>
  <c r="Q9" i="3"/>
  <c r="Q7" i="3"/>
  <c r="Q12" i="2"/>
  <c r="Q16" i="2"/>
  <c r="Q9" i="2"/>
  <c r="Q13" i="2"/>
  <c r="Q8" i="2"/>
  <c r="Q11" i="2"/>
  <c r="Q15" i="2"/>
  <c r="Q10" i="2"/>
  <c r="Q7" i="2"/>
  <c r="C6" i="5" s="1"/>
  <c r="E6" i="5" l="1"/>
  <c r="D6" i="5" s="1"/>
  <c r="E7" i="5"/>
  <c r="D7" i="5" s="1"/>
  <c r="B7" i="5"/>
  <c r="C7" i="5"/>
  <c r="B8" i="5"/>
  <c r="E8" i="5"/>
  <c r="D8" i="5" s="1"/>
  <c r="C8" i="5"/>
  <c r="B6" i="5"/>
</calcChain>
</file>

<file path=xl/sharedStrings.xml><?xml version="1.0" encoding="utf-8"?>
<sst xmlns="http://schemas.openxmlformats.org/spreadsheetml/2006/main" count="358" uniqueCount="133">
  <si>
    <t>ПРОТОКОЛ РЕГИСТРАЦИИ УЧАСТНИКОВ</t>
  </si>
  <si>
    <t>Имя</t>
  </si>
  <si>
    <t>Фамлия</t>
  </si>
  <si>
    <t xml:space="preserve">Ст № </t>
  </si>
  <si>
    <t>Класс</t>
  </si>
  <si>
    <t>Марка автом</t>
  </si>
  <si>
    <t>Страх</t>
  </si>
  <si>
    <t>старт.взнос</t>
  </si>
  <si>
    <t>СТАНДАРТ</t>
  </si>
  <si>
    <t>№</t>
  </si>
  <si>
    <t xml:space="preserve">Контрольный заезд </t>
  </si>
  <si>
    <t>время</t>
  </si>
  <si>
    <t>место</t>
  </si>
  <si>
    <t>1 финал</t>
  </si>
  <si>
    <t>2 финал</t>
  </si>
  <si>
    <t>3 финал</t>
  </si>
  <si>
    <t>Итог</t>
  </si>
  <si>
    <t>очки</t>
  </si>
  <si>
    <t>I</t>
  </si>
  <si>
    <t>II</t>
  </si>
  <si>
    <t>III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</si>
  <si>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</si>
  <si>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</si>
  <si>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</si>
  <si>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</si>
  <si>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</si>
  <si>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Ст. №</t>
  </si>
  <si>
    <t>Очки</t>
  </si>
  <si>
    <t>Командный результат</t>
  </si>
  <si>
    <t>КОМАНДА</t>
  </si>
  <si>
    <t>класс "2000"</t>
  </si>
  <si>
    <t>занятое место</t>
  </si>
  <si>
    <t>количество стартовавших</t>
  </si>
  <si>
    <t xml:space="preserve">фамилия </t>
  </si>
  <si>
    <t xml:space="preserve">имя </t>
  </si>
  <si>
    <t>ст. №</t>
  </si>
  <si>
    <t>класс</t>
  </si>
  <si>
    <t>Богатырёв</t>
  </si>
  <si>
    <t>Сергей</t>
  </si>
  <si>
    <t xml:space="preserve">Ходий </t>
  </si>
  <si>
    <t>Дмитрий</t>
  </si>
  <si>
    <t xml:space="preserve">Кузнецов </t>
  </si>
  <si>
    <t xml:space="preserve">Тихонов </t>
  </si>
  <si>
    <t>Антон</t>
  </si>
  <si>
    <t>Алдабаев</t>
  </si>
  <si>
    <t>Алексей</t>
  </si>
  <si>
    <t xml:space="preserve">Ворона </t>
  </si>
  <si>
    <t>Степан</t>
  </si>
  <si>
    <t xml:space="preserve">Дуплищев </t>
  </si>
  <si>
    <t>Александр</t>
  </si>
  <si>
    <t xml:space="preserve">Марштупа </t>
  </si>
  <si>
    <t>Иван</t>
  </si>
  <si>
    <t xml:space="preserve">Румачик </t>
  </si>
  <si>
    <t>Роман</t>
  </si>
  <si>
    <t>Ильницкий</t>
  </si>
  <si>
    <t>Саенков</t>
  </si>
  <si>
    <t>Шмидт</t>
  </si>
  <si>
    <t>Георгий</t>
  </si>
  <si>
    <t xml:space="preserve">Глушков </t>
  </si>
  <si>
    <t>Ламехов</t>
  </si>
  <si>
    <t>Николай</t>
  </si>
  <si>
    <t>Емельяненко</t>
  </si>
  <si>
    <t>Лутченко</t>
  </si>
  <si>
    <t xml:space="preserve">Бирюков </t>
  </si>
  <si>
    <t>Вячеслав</t>
  </si>
  <si>
    <t xml:space="preserve">Егоров </t>
  </si>
  <si>
    <t>Артём</t>
  </si>
  <si>
    <t xml:space="preserve">Злобин </t>
  </si>
  <si>
    <t>Игорь</t>
  </si>
  <si>
    <t>Фомичёв</t>
  </si>
  <si>
    <t>Владимир</t>
  </si>
  <si>
    <t>Тыщук</t>
  </si>
  <si>
    <t>Евгений</t>
  </si>
  <si>
    <t>стандарт/Д2Н</t>
  </si>
  <si>
    <t>Виктор</t>
  </si>
  <si>
    <t>Курлович</t>
  </si>
  <si>
    <t>Андрей</t>
  </si>
  <si>
    <t>Ющенко</t>
  </si>
  <si>
    <t>Олег</t>
  </si>
  <si>
    <t>Кидун</t>
  </si>
  <si>
    <t>Павел</t>
  </si>
  <si>
    <t xml:space="preserve">Стрелков </t>
  </si>
  <si>
    <t>Геннадий</t>
  </si>
  <si>
    <t xml:space="preserve">Кабешев </t>
  </si>
  <si>
    <t xml:space="preserve">Цветков </t>
  </si>
  <si>
    <t>Ст.
 №</t>
  </si>
  <si>
    <t>квалификация</t>
  </si>
  <si>
    <t>1-й заезд</t>
  </si>
  <si>
    <t>2-й заезд</t>
  </si>
  <si>
    <t>3-й заезд</t>
  </si>
  <si>
    <t>4-й заезд</t>
  </si>
  <si>
    <t>5-й заезд</t>
  </si>
  <si>
    <t>6-й заезд</t>
  </si>
  <si>
    <t>7-й заезд</t>
  </si>
  <si>
    <t>8-й заезд</t>
  </si>
  <si>
    <t>9-й заезд</t>
  </si>
  <si>
    <t>10-й заезд</t>
  </si>
  <si>
    <t>11-й заезд</t>
  </si>
  <si>
    <t>12-й заезд</t>
  </si>
  <si>
    <t>13-й заезд</t>
  </si>
  <si>
    <t>14-й заезд</t>
  </si>
  <si>
    <t>15-й заезд</t>
  </si>
  <si>
    <t>16-й заезд</t>
  </si>
  <si>
    <t>17-й заезд</t>
  </si>
  <si>
    <t>18-й заезд</t>
  </si>
  <si>
    <t>19-й заезд</t>
  </si>
  <si>
    <t>20-й заезд</t>
  </si>
  <si>
    <t>ИТОГ</t>
  </si>
  <si>
    <t>Суперфинал</t>
  </si>
  <si>
    <t>дорожки</t>
  </si>
  <si>
    <t>дорожка</t>
  </si>
  <si>
    <t>марка автомобиля</t>
  </si>
  <si>
    <t>ВАЗ 2108</t>
  </si>
  <si>
    <t>ВАЗ 2112</t>
  </si>
  <si>
    <t>класс "Д2Н"</t>
  </si>
  <si>
    <t>Д2Н</t>
  </si>
  <si>
    <t>количество кругов</t>
  </si>
  <si>
    <t>классификация</t>
  </si>
  <si>
    <t>пройдено кругов</t>
  </si>
  <si>
    <t>Полярные Зори</t>
  </si>
  <si>
    <t>Команда/Лично</t>
  </si>
  <si>
    <t>Румачик</t>
  </si>
  <si>
    <t>лично</t>
  </si>
  <si>
    <t>Богатырев</t>
  </si>
  <si>
    <t>Тихонов</t>
  </si>
  <si>
    <t>Ходий</t>
  </si>
  <si>
    <t>Пугачев</t>
  </si>
  <si>
    <t>Открытое спортивное мероприятие по ледовым гонкам 1 этап</t>
  </si>
  <si>
    <t>:</t>
  </si>
  <si>
    <t xml:space="preserve"> </t>
  </si>
  <si>
    <t>1 ЗАЕЗД №50  ПРЕДУПРЕЖДЕНИЙ ЗА НЕСПОРТИВНОЕ ПОВЕДЕНИЕ</t>
  </si>
  <si>
    <t>№7 АННУЛИРОВАНИЕ РЕЗУЛЬТАТОВ ЗАЕЗДА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</si>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</sst>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4" x14ac:knownFonts="1">
    <font>
      <sz val="10"/>
      <name val="Arial"/>
    </font>
    <font>
      <b/>
      <i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0" xfId="1" applyFont="1"/>
    <xf numFmtId="0" fontId="7" fillId="0" borderId="0" xfId="1" applyFont="1"/>
    <xf numFmtId="0" fontId="0" fillId="0" borderId="0" xfId="1" applyFont="1" applyFill="1"/>
    <xf numFmtId="0" fontId="8" fillId="0" borderId="0" xfId="1" applyFont="1"/>
    <xf numFmtId="14" fontId="8" fillId="0" borderId="0" xfId="1" applyNumberFormat="1" applyFont="1"/>
    <xf numFmtId="0" fontId="8" fillId="0" borderId="0" xfId="1" applyFont="1" applyFill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" xfId="0" applyFont="1" applyBorder="1"/>
    <xf numFmtId="0" fontId="15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4" fillId="0" borderId="0" xfId="0" applyFont="1"/>
    <xf numFmtId="0" fontId="3" fillId="0" borderId="27" xfId="0" applyFont="1" applyBorder="1"/>
    <xf numFmtId="0" fontId="0" fillId="0" borderId="28" xfId="0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9" xfId="0" applyNumberForma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32" xfId="0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4" fillId="0" borderId="33" xfId="0" applyFont="1" applyBorder="1"/>
    <xf numFmtId="0" fontId="15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0" borderId="35" xfId="0" applyFont="1" applyBorder="1"/>
    <xf numFmtId="0" fontId="0" fillId="0" borderId="36" xfId="0" applyFont="1" applyBorder="1" applyAlignment="1">
      <alignment horizontal="center"/>
    </xf>
    <xf numFmtId="0" fontId="14" fillId="0" borderId="36" xfId="0" applyFont="1" applyBorder="1"/>
    <xf numFmtId="0" fontId="16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3" borderId="0" xfId="0" applyFont="1" applyFill="1"/>
    <xf numFmtId="14" fontId="4" fillId="3" borderId="0" xfId="0" applyNumberFormat="1" applyFont="1" applyFill="1"/>
    <xf numFmtId="0" fontId="7" fillId="3" borderId="2" xfId="0" applyFont="1" applyFill="1" applyBorder="1"/>
    <xf numFmtId="0" fontId="20" fillId="3" borderId="4" xfId="0" applyNumberFormat="1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Alignment="1" applyProtection="1">
      <alignment horizontal="center"/>
      <protection locked="0"/>
    </xf>
    <xf numFmtId="1" fontId="20" fillId="3" borderId="4" xfId="0" applyNumberFormat="1" applyFont="1" applyFill="1" applyBorder="1" applyAlignment="1" applyProtection="1">
      <alignment horizontal="center"/>
      <protection locked="0"/>
    </xf>
    <xf numFmtId="1" fontId="20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>
      <alignment horizontal="center"/>
    </xf>
    <xf numFmtId="0" fontId="21" fillId="3" borderId="4" xfId="0" applyFon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/>
    <xf numFmtId="0" fontId="0" fillId="3" borderId="2" xfId="0" applyFill="1" applyBorder="1"/>
    <xf numFmtId="0" fontId="7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5" fillId="0" borderId="2" xfId="0" applyFont="1" applyBorder="1" applyAlignment="1"/>
    <xf numFmtId="0" fontId="0" fillId="0" borderId="2" xfId="0" applyBorder="1" applyAlignment="1"/>
    <xf numFmtId="0" fontId="14" fillId="0" borderId="0" xfId="1" applyFont="1" applyAlignment="1"/>
    <xf numFmtId="0" fontId="22" fillId="0" borderId="0" xfId="0" applyFont="1" applyAlignment="1"/>
    <xf numFmtId="164" fontId="0" fillId="0" borderId="0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Протоко личного зачета" xfId="1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kol_&#1083;&#1105;&#1076;_&#1093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регистрации"/>
      <sheetName val="Д2Н"/>
      <sheetName val="2000"/>
      <sheetName val="трек 16Х4"/>
      <sheetName val="трек 13Х4"/>
      <sheetName val="список победителей"/>
      <sheetName val="команды победители"/>
      <sheetName val="таблица Б"/>
      <sheetName val="база участник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>
            <v>1</v>
          </cell>
        </row>
        <row r="3">
          <cell r="D3">
            <v>2</v>
          </cell>
          <cell r="F3" t="str">
            <v>ВАЗ 2108</v>
          </cell>
        </row>
        <row r="4">
          <cell r="D4">
            <v>3</v>
          </cell>
          <cell r="F4" t="str">
            <v>ВАЗ 2108</v>
          </cell>
        </row>
        <row r="5">
          <cell r="D5">
            <v>4</v>
          </cell>
          <cell r="F5" t="str">
            <v>ВАЗ 2108</v>
          </cell>
        </row>
        <row r="6">
          <cell r="D6">
            <v>5</v>
          </cell>
          <cell r="F6" t="str">
            <v>ВАЗ 2108</v>
          </cell>
        </row>
        <row r="7">
          <cell r="D7">
            <v>6</v>
          </cell>
          <cell r="F7" t="str">
            <v>ВАЗ 2112</v>
          </cell>
        </row>
        <row r="8">
          <cell r="D8">
            <v>7</v>
          </cell>
          <cell r="F8" t="str">
            <v>ВАЗ 2108</v>
          </cell>
        </row>
        <row r="9">
          <cell r="D9">
            <v>8</v>
          </cell>
          <cell r="F9" t="str">
            <v>ВАЗ 2108</v>
          </cell>
        </row>
        <row r="11">
          <cell r="D11">
            <v>10</v>
          </cell>
          <cell r="F11" t="str">
            <v>ВАЗ 2112</v>
          </cell>
        </row>
        <row r="13">
          <cell r="D13">
            <v>12</v>
          </cell>
          <cell r="F13" t="str">
            <v>ВАЗ 2108</v>
          </cell>
        </row>
        <row r="14">
          <cell r="D14">
            <v>13</v>
          </cell>
          <cell r="F14" t="str">
            <v>ВАЗ 2112</v>
          </cell>
        </row>
        <row r="15">
          <cell r="D15">
            <v>14</v>
          </cell>
          <cell r="F15" t="str">
            <v>ВАЗ 2108</v>
          </cell>
        </row>
        <row r="16">
          <cell r="D16">
            <v>15</v>
          </cell>
          <cell r="F16" t="str">
            <v>ВАЗ 2108</v>
          </cell>
        </row>
        <row r="20">
          <cell r="D20">
            <v>19</v>
          </cell>
          <cell r="F20" t="str">
            <v>ВАЗ 2108</v>
          </cell>
        </row>
        <row r="26">
          <cell r="D26">
            <v>25</v>
          </cell>
          <cell r="F26" t="str">
            <v>ВАЗ 2108</v>
          </cell>
        </row>
        <row r="27">
          <cell r="D27">
            <v>26</v>
          </cell>
          <cell r="F27" t="str">
            <v>ВАЗ 2108</v>
          </cell>
        </row>
        <row r="36">
          <cell r="D36">
            <v>35</v>
          </cell>
          <cell r="F36" t="str">
            <v>ВАЗ 2108</v>
          </cell>
        </row>
        <row r="40">
          <cell r="D40">
            <v>39</v>
          </cell>
          <cell r="F40" t="str">
            <v>ВАЗ 2108</v>
          </cell>
        </row>
        <row r="56">
          <cell r="D56">
            <v>55</v>
          </cell>
          <cell r="F56" t="str">
            <v>ВАЗ 2108</v>
          </cell>
        </row>
        <row r="64">
          <cell r="D64">
            <v>63</v>
          </cell>
          <cell r="F64" t="str">
            <v>ВАЗ 2108</v>
          </cell>
        </row>
        <row r="72">
          <cell r="D72">
            <v>71</v>
          </cell>
          <cell r="F72" t="str">
            <v>ВАЗ 2108</v>
          </cell>
        </row>
        <row r="73">
          <cell r="D73">
            <v>72</v>
          </cell>
          <cell r="F73" t="str">
            <v>ВАЗ 2108</v>
          </cell>
        </row>
        <row r="78">
          <cell r="D78">
            <v>77</v>
          </cell>
          <cell r="F78" t="str">
            <v>ВАЗ 2108</v>
          </cell>
        </row>
        <row r="82">
          <cell r="D82">
            <v>81</v>
          </cell>
          <cell r="F82" t="str">
            <v>ВАЗ 2112</v>
          </cell>
        </row>
        <row r="89">
          <cell r="D89">
            <v>88</v>
          </cell>
          <cell r="F89" t="str">
            <v>ВАЗ 2108</v>
          </cell>
        </row>
        <row r="98">
          <cell r="D98">
            <v>97</v>
          </cell>
          <cell r="F98" t="str">
            <v>ВАЗ 2108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6"/>
  <sheetViews>
    <sheetView zoomScaleNormal="100" workbookViewId="0">
      <selection activeCell="F12" sqref="F12"/>
    </sheetView>
  </sheetViews>
  <sheetFormatPr defaultRowHeight="12.75" x14ac:dyDescent="0.2"/>
  <cols>
    <col min="1" max="1" width="3.85546875" bestFit="1" customWidth="1"/>
    <col min="2" max="2" width="17.28515625" customWidth="1"/>
    <col min="3" max="3" width="15.85546875" customWidth="1"/>
    <col min="4" max="4" width="10.42578125" customWidth="1"/>
    <col min="5" max="6" width="15.28515625" customWidth="1"/>
    <col min="7" max="7" width="10.42578125" customWidth="1"/>
    <col min="8" max="8" width="11.42578125" customWidth="1"/>
  </cols>
  <sheetData>
    <row r="1" spans="1:8" x14ac:dyDescent="0.2">
      <c r="A1" s="178" t="s">
        <v>127</v>
      </c>
      <c r="B1" s="179"/>
      <c r="C1" s="179"/>
      <c r="D1" s="179"/>
      <c r="E1" s="179"/>
      <c r="F1" s="179"/>
      <c r="G1" s="179"/>
      <c r="H1" s="123">
        <v>42400</v>
      </c>
    </row>
    <row r="2" spans="1:8" x14ac:dyDescent="0.2">
      <c r="C2" s="3" t="s">
        <v>0</v>
      </c>
      <c r="D2" s="3"/>
      <c r="G2" s="122" t="s">
        <v>119</v>
      </c>
      <c r="H2" s="4"/>
    </row>
    <row r="3" spans="1:8" x14ac:dyDescent="0.2">
      <c r="A3" s="29" t="s">
        <v>9</v>
      </c>
      <c r="B3" s="27" t="s">
        <v>1</v>
      </c>
      <c r="C3" s="5" t="s">
        <v>22</v>
      </c>
      <c r="D3" s="5" t="s">
        <v>3</v>
      </c>
      <c r="E3" s="5" t="s">
        <v>5</v>
      </c>
      <c r="F3" s="5" t="s">
        <v>120</v>
      </c>
      <c r="G3" s="6" t="s">
        <v>6</v>
      </c>
      <c r="H3" s="7" t="s">
        <v>7</v>
      </c>
    </row>
    <row r="4" spans="1:8" x14ac:dyDescent="0.2">
      <c r="A4" s="174" t="s">
        <v>114</v>
      </c>
      <c r="B4" s="175"/>
      <c r="C4" s="175"/>
      <c r="D4" s="176"/>
      <c r="E4" s="176"/>
      <c r="F4" s="175"/>
      <c r="G4" s="176"/>
      <c r="H4" s="177"/>
    </row>
    <row r="5" spans="1:8" ht="20.25" x14ac:dyDescent="0.3">
      <c r="A5" s="72">
        <v>1</v>
      </c>
      <c r="B5" s="162" t="s">
        <v>53</v>
      </c>
      <c r="C5" s="162" t="s">
        <v>121</v>
      </c>
      <c r="D5" s="125">
        <v>39</v>
      </c>
      <c r="E5" s="162" t="str">
        <f>IF(D5&gt;0,INDEX('[1]база участников'!$F$2:$F$101,MATCH(D5,'[1]база участников'!$D$2:$D$101),0),"")</f>
        <v>ВАЗ 2108</v>
      </c>
      <c r="F5" s="124" t="s">
        <v>122</v>
      </c>
      <c r="G5" s="135"/>
      <c r="H5" s="126"/>
    </row>
    <row r="6" spans="1:8" ht="20.25" x14ac:dyDescent="0.3">
      <c r="A6" s="72">
        <v>2</v>
      </c>
      <c r="B6" s="162" t="s">
        <v>43</v>
      </c>
      <c r="C6" s="162" t="s">
        <v>54</v>
      </c>
      <c r="D6" s="125">
        <v>63</v>
      </c>
      <c r="E6" s="162" t="str">
        <f>IF(D6&gt;0,INDEX('[1]база участников'!$F$2:$F$101,MATCH(D6,'[1]база участников'!$D$2:$D$101),0),"")</f>
        <v>ВАЗ 2108</v>
      </c>
      <c r="F6" s="124" t="s">
        <v>122</v>
      </c>
      <c r="G6" s="135"/>
      <c r="H6" s="126"/>
    </row>
    <row r="7" spans="1:8" ht="20.25" x14ac:dyDescent="0.3">
      <c r="A7" s="72">
        <v>3</v>
      </c>
      <c r="B7" s="162" t="s">
        <v>38</v>
      </c>
      <c r="C7" s="162" t="s">
        <v>123</v>
      </c>
      <c r="D7" s="125">
        <v>3</v>
      </c>
      <c r="E7" s="162" t="str">
        <f>IF(D7&gt;0,INDEX('[1]база участников'!$F$2:$F$101,MATCH(D7,'[1]база участников'!$D$2:$D$101),0),"")</f>
        <v>ВАЗ 2108</v>
      </c>
      <c r="F7" s="124" t="s">
        <v>122</v>
      </c>
      <c r="G7" s="135"/>
      <c r="H7" s="126"/>
    </row>
    <row r="8" spans="1:8" ht="20.25" x14ac:dyDescent="0.3">
      <c r="A8" s="72">
        <v>4</v>
      </c>
      <c r="B8" s="162" t="s">
        <v>72</v>
      </c>
      <c r="C8" s="162" t="s">
        <v>71</v>
      </c>
      <c r="D8" s="127">
        <v>71</v>
      </c>
      <c r="E8" s="162" t="str">
        <f>IF(D8&gt;0,INDEX('[1]база участников'!$F$2:$F$101,MATCH(D8,'[1]база участников'!$D$2:$D$101),0),"")</f>
        <v>ВАЗ 2108</v>
      </c>
      <c r="F8" s="124" t="s">
        <v>122</v>
      </c>
      <c r="G8" s="135"/>
      <c r="H8" s="126"/>
    </row>
    <row r="9" spans="1:8" ht="20.25" x14ac:dyDescent="0.3">
      <c r="A9" s="72">
        <v>5</v>
      </c>
      <c r="B9" s="162" t="s">
        <v>43</v>
      </c>
      <c r="C9" s="162" t="s">
        <v>124</v>
      </c>
      <c r="D9" s="127">
        <v>50</v>
      </c>
      <c r="E9" s="162" t="str">
        <f>IF(D9&gt;0,INDEX('[1]база участников'!$F$2:$F$101,MATCH(D9,'[1]база участников'!$D$2:$D$101),0),"")</f>
        <v>ВАЗ 2108</v>
      </c>
      <c r="F9" s="124" t="s">
        <v>122</v>
      </c>
      <c r="G9" s="135"/>
      <c r="H9" s="126"/>
    </row>
    <row r="10" spans="1:8" ht="20.25" x14ac:dyDescent="0.3">
      <c r="A10" s="72">
        <v>6</v>
      </c>
      <c r="B10" s="162" t="s">
        <v>40</v>
      </c>
      <c r="C10" s="162" t="s">
        <v>125</v>
      </c>
      <c r="D10" s="127">
        <v>7</v>
      </c>
      <c r="E10" s="162" t="str">
        <f>IF(D10&gt;0,INDEX('[1]база участников'!$F$2:$F$101,MATCH(D10,'[1]база участников'!$D$2:$D$101),0),"")</f>
        <v>ВАЗ 2108</v>
      </c>
      <c r="F10" s="124" t="s">
        <v>122</v>
      </c>
      <c r="G10" s="135"/>
      <c r="H10" s="126"/>
    </row>
    <row r="11" spans="1:8" ht="20.25" x14ac:dyDescent="0.3">
      <c r="A11" s="72">
        <v>7</v>
      </c>
      <c r="B11" s="162" t="s">
        <v>45</v>
      </c>
      <c r="C11" s="162" t="s">
        <v>44</v>
      </c>
      <c r="D11" s="127">
        <v>15</v>
      </c>
      <c r="E11" s="162" t="str">
        <f>IF(D11&gt;0,INDEX('[1]база участников'!$F$2:$F$101,MATCH(D11,'[1]база участников'!$D$2:$D$101),0),"")</f>
        <v>ВАЗ 2108</v>
      </c>
      <c r="F11" s="124" t="s">
        <v>122</v>
      </c>
      <c r="G11" s="135"/>
      <c r="H11" s="126"/>
    </row>
    <row r="12" spans="1:8" ht="20.25" x14ac:dyDescent="0.3">
      <c r="A12" s="72">
        <v>8</v>
      </c>
      <c r="B12" s="162" t="s">
        <v>76</v>
      </c>
      <c r="C12" s="162" t="s">
        <v>126</v>
      </c>
      <c r="D12" s="127">
        <v>73</v>
      </c>
      <c r="E12" s="162" t="str">
        <f>IF(D12&gt;0,INDEX('[1]база участников'!$F$2:$F$101,MATCH(D12,'[1]база участников'!$D$2:$D$101),0),"")</f>
        <v>ВАЗ 2108</v>
      </c>
      <c r="F12" s="124" t="s">
        <v>122</v>
      </c>
      <c r="G12" s="135"/>
      <c r="H12" s="126"/>
    </row>
    <row r="13" spans="1:8" ht="20.25" x14ac:dyDescent="0.3">
      <c r="A13" s="72">
        <v>9</v>
      </c>
      <c r="B13" s="162" t="s">
        <v>45</v>
      </c>
      <c r="C13" s="162" t="s">
        <v>55</v>
      </c>
      <c r="D13" s="127">
        <v>77</v>
      </c>
      <c r="E13" s="162" t="str">
        <f>IF(D13&gt;0,INDEX('[1]база участников'!$F$2:$F$101,MATCH(D13,'[1]база участников'!$D$2:$D$101),0),"")</f>
        <v>ВАЗ 2108</v>
      </c>
      <c r="F13" s="124" t="s">
        <v>122</v>
      </c>
      <c r="G13" s="135"/>
      <c r="H13" s="126"/>
    </row>
    <row r="14" spans="1:8" ht="20.25" x14ac:dyDescent="0.3">
      <c r="A14" s="72">
        <v>10</v>
      </c>
      <c r="B14" s="162" t="s">
        <v>57</v>
      </c>
      <c r="C14" s="162" t="s">
        <v>56</v>
      </c>
      <c r="D14" s="127">
        <v>88</v>
      </c>
      <c r="E14" s="162" t="str">
        <f>IF(D14&gt;0,INDEX('база участников'!$F$2:$F$101,MATCH(D14,'база участников'!$D$2:$D$101),0),"")</f>
        <v>ВАЗ 2108</v>
      </c>
      <c r="F14" s="124" t="s">
        <v>122</v>
      </c>
      <c r="G14" s="135"/>
      <c r="H14" s="126"/>
    </row>
    <row r="15" spans="1:8" ht="20.25" x14ac:dyDescent="0.3">
      <c r="A15" s="72">
        <v>11</v>
      </c>
      <c r="B15" s="162" t="str">
        <f>IF(D15&gt;0,INDEX('база участников'!$C$2:$C$101,MATCH(D15,'база участников'!$D$2:$D$101),0),"")</f>
        <v/>
      </c>
      <c r="C15" s="162" t="str">
        <f>IF(D15&gt;0,INDEX('база участников'!$B$2:$B$101,MATCH(D15,'база участников'!$D$2:$D$101),0),"")</f>
        <v/>
      </c>
      <c r="D15" s="127"/>
      <c r="E15" s="162" t="str">
        <f>IF(D15&gt;0,INDEX('база участников'!$F$2:$F$101,MATCH(D15,'база участников'!$D$2:$D$101),0),"")</f>
        <v/>
      </c>
      <c r="F15" s="124"/>
      <c r="G15" s="135"/>
      <c r="H15" s="126"/>
    </row>
    <row r="16" spans="1:8" ht="20.25" x14ac:dyDescent="0.3">
      <c r="A16" s="72">
        <v>12</v>
      </c>
      <c r="B16" s="162" t="str">
        <f>IF(D16&gt;0,INDEX('база участников'!$C$2:$C$101,MATCH(D16,'база участников'!$D$2:$D$101),0),"")</f>
        <v/>
      </c>
      <c r="C16" s="162" t="str">
        <f>IF(D16&gt;0,INDEX('база участников'!$B$2:$B$101,MATCH(D16,'база участников'!$D$2:$D$101),0),"")</f>
        <v/>
      </c>
      <c r="D16" s="127"/>
      <c r="E16" s="162" t="str">
        <f>IF(D16&gt;0,INDEX('база участников'!$F$2:$F$101,MATCH(D16,'база участников'!$D$2:$D$101),0),"")</f>
        <v/>
      </c>
      <c r="F16" s="124"/>
      <c r="G16" s="135"/>
      <c r="H16" s="126"/>
    </row>
    <row r="17" spans="1:8" ht="20.25" x14ac:dyDescent="0.3">
      <c r="A17" s="72">
        <v>13</v>
      </c>
      <c r="B17" s="162" t="str">
        <f>IF(D17&gt;0,INDEX('база участников'!$C$2:$C$101,MATCH(D17,'база участников'!$D$2:$D$101),0),"")</f>
        <v/>
      </c>
      <c r="C17" s="162" t="str">
        <f>IF(D17&gt;0,INDEX('база участников'!$B$2:$B$101,MATCH(D17,'база участников'!$D$2:$D$101),0),"")</f>
        <v/>
      </c>
      <c r="D17" s="127"/>
      <c r="E17" s="162" t="str">
        <f>IF(D17&gt;0,INDEX('база участников'!$F$2:$F$101,MATCH(D17,'база участников'!$D$2:$D$101),0),"")</f>
        <v/>
      </c>
      <c r="F17" s="124"/>
      <c r="G17" s="135"/>
      <c r="H17" s="126"/>
    </row>
    <row r="18" spans="1:8" ht="20.25" x14ac:dyDescent="0.3">
      <c r="A18" s="72">
        <v>14</v>
      </c>
      <c r="B18" s="162" t="str">
        <f>IF(D18&gt;0,INDEX('база участников'!$C$2:$C$101,MATCH(D18,'база участников'!$D$2:$D$101),0),"")</f>
        <v/>
      </c>
      <c r="C18" s="162" t="str">
        <f>IF(D18&gt;0,INDEX('база участников'!$B$2:$B$101,MATCH(D18,'база участников'!$D$2:$D$101),0),"")</f>
        <v/>
      </c>
      <c r="D18" s="127"/>
      <c r="E18" s="162" t="str">
        <f>IF(D18&gt;0,INDEX('база участников'!$F$2:$F$101,MATCH(D18,'база участников'!$D$2:$D$101),0),"")</f>
        <v/>
      </c>
      <c r="F18" s="124"/>
      <c r="G18" s="135"/>
      <c r="H18" s="126"/>
    </row>
    <row r="19" spans="1:8" ht="20.25" x14ac:dyDescent="0.3">
      <c r="A19" s="72">
        <v>15</v>
      </c>
      <c r="B19" s="162" t="str">
        <f>IF(D19&gt;0,INDEX('база участников'!$C$2:$C$101,MATCH(D19,'база участников'!$D$2:$D$101),0),"")</f>
        <v/>
      </c>
      <c r="C19" s="162" t="str">
        <f>IF(D19&gt;0,INDEX('база участников'!$B$2:$B$101,MATCH(D19,'база участников'!$D$2:$D$101),0),"")</f>
        <v/>
      </c>
      <c r="D19" s="127"/>
      <c r="E19" s="162" t="str">
        <f>IF(D19&gt;0,INDEX('база участников'!$F$2:$F$101,MATCH(D19,'база участников'!$D$2:$D$101),0),"")</f>
        <v/>
      </c>
      <c r="F19" s="124"/>
      <c r="G19" s="135"/>
      <c r="H19" s="126"/>
    </row>
    <row r="20" spans="1:8" ht="20.25" x14ac:dyDescent="0.3">
      <c r="A20" s="72">
        <v>16</v>
      </c>
      <c r="B20" s="162" t="str">
        <f>IF(D20&gt;0,INDEX('база участников'!$C$2:$C$101,MATCH(D20,'база участников'!$D$2:$D$101),0),"")</f>
        <v/>
      </c>
      <c r="C20" s="162" t="str">
        <f>IF(D20&gt;0,INDEX('база участников'!$B$2:$B$101,MATCH(D20,'база участников'!$D$2:$D$101),0),"")</f>
        <v/>
      </c>
      <c r="D20" s="127"/>
      <c r="E20" s="162" t="str">
        <f>IF(D20&gt;0,INDEX('база участников'!$F$2:$F$101,MATCH(D20,'база участников'!$D$2:$D$101),0),"")</f>
        <v/>
      </c>
      <c r="F20" s="124"/>
      <c r="G20" s="135"/>
      <c r="H20" s="126"/>
    </row>
    <row r="21" spans="1:8" ht="20.25" x14ac:dyDescent="0.3">
      <c r="A21" s="72">
        <v>17</v>
      </c>
      <c r="B21" s="162" t="str">
        <f>IF(D21&gt;0,INDEX('база участников'!$C$2:$C$101,MATCH(D21,'база участников'!$D$2:$D$101),0),"")</f>
        <v/>
      </c>
      <c r="C21" s="162" t="str">
        <f>IF(D21&gt;0,INDEX('база участников'!$B$2:$B$101,MATCH(D21,'база участников'!$D$2:$D$101),0),"")</f>
        <v/>
      </c>
      <c r="D21" s="127"/>
      <c r="E21" s="162" t="str">
        <f>IF(D21&gt;0,INDEX('база участников'!$F$2:$F$101,MATCH(D21,'база участников'!$D$2:$D$101),0),"")</f>
        <v/>
      </c>
      <c r="F21" s="124"/>
      <c r="G21" s="135"/>
      <c r="H21" s="126"/>
    </row>
    <row r="22" spans="1:8" ht="20.25" x14ac:dyDescent="0.3">
      <c r="A22" s="72">
        <v>18</v>
      </c>
      <c r="B22" s="162" t="str">
        <f>IF(D22&gt;0,INDEX('база участников'!$C$2:$C$101,MATCH(D22,'база участников'!$D$2:$D$101),0),"")</f>
        <v/>
      </c>
      <c r="C22" s="162" t="str">
        <f>IF(D22&gt;0,INDEX('база участников'!$B$2:$B$101,MATCH(D22,'база участников'!$D$2:$D$101),0),"")</f>
        <v/>
      </c>
      <c r="D22" s="127"/>
      <c r="E22" s="162" t="str">
        <f>IF(D22&gt;0,INDEX('база участников'!$F$2:$F$101,MATCH(D22,'база участников'!$D$2:$D$101),0),"")</f>
        <v/>
      </c>
      <c r="F22" s="124"/>
      <c r="G22" s="135"/>
      <c r="H22" s="126"/>
    </row>
    <row r="23" spans="1:8" ht="20.25" x14ac:dyDescent="0.3">
      <c r="A23" s="72">
        <v>19</v>
      </c>
      <c r="B23" s="162" t="str">
        <f>IF(D23&gt;0,INDEX('база участников'!$C$2:$C$101,MATCH(D23,'база участников'!$D$2:$D$101),0),"")</f>
        <v/>
      </c>
      <c r="C23" s="162" t="str">
        <f>IF(D23&gt;0,INDEX('база участников'!$B$2:$B$101,MATCH(D23,'база участников'!$D$2:$D$101),0),"")</f>
        <v/>
      </c>
      <c r="D23" s="127"/>
      <c r="E23" s="162" t="str">
        <f>IF(D23&gt;0,INDEX('база участников'!$F$2:$F$101,MATCH(D23,'база участников'!$D$2:$D$101),0),"")</f>
        <v/>
      </c>
      <c r="F23" s="124"/>
      <c r="G23" s="135"/>
      <c r="H23" s="126"/>
    </row>
    <row r="24" spans="1:8" ht="20.25" x14ac:dyDescent="0.3">
      <c r="A24" s="72">
        <v>20</v>
      </c>
      <c r="B24" s="162" t="str">
        <f>IF(D24&gt;0,INDEX('база участников'!$C$2:$C$101,MATCH(D24,'база участников'!$D$2:$D$101),0),"")</f>
        <v/>
      </c>
      <c r="C24" s="162" t="str">
        <f>IF(D24&gt;0,INDEX('база участников'!$B$2:$B$101,MATCH(D24,'база участников'!$D$2:$D$101),0),"")</f>
        <v/>
      </c>
      <c r="D24" s="127"/>
      <c r="E24" s="162" t="str">
        <f>IF(D24&gt;0,INDEX('база участников'!$F$2:$F$101,MATCH(D24,'база участников'!$D$2:$D$101),0),"")</f>
        <v/>
      </c>
      <c r="F24" s="124"/>
      <c r="G24" s="135"/>
      <c r="H24" s="126"/>
    </row>
    <row r="25" spans="1:8" ht="15" x14ac:dyDescent="0.2">
      <c r="A25" s="169" t="s">
        <v>30</v>
      </c>
      <c r="B25" s="170"/>
      <c r="C25" s="170"/>
      <c r="D25" s="171"/>
      <c r="E25" s="171"/>
      <c r="F25" s="172"/>
      <c r="G25" s="171"/>
      <c r="H25" s="173"/>
    </row>
    <row r="26" spans="1:8" ht="20.25" x14ac:dyDescent="0.3">
      <c r="A26" s="28">
        <v>21</v>
      </c>
      <c r="B26" s="162" t="s">
        <v>53</v>
      </c>
      <c r="C26" s="162" t="s">
        <v>121</v>
      </c>
      <c r="D26" s="128">
        <v>39</v>
      </c>
      <c r="E26" s="162" t="str">
        <f>IF(D26&gt;0,INDEX('[1]база участников'!$F$2:$F$101,MATCH(D26,'[1]база участников'!$D$2:$D$101),0),"")</f>
        <v>ВАЗ 2108</v>
      </c>
      <c r="F26" s="124" t="s">
        <v>122</v>
      </c>
      <c r="G26" s="135"/>
      <c r="H26" s="126"/>
    </row>
    <row r="27" spans="1:8" ht="20.25" x14ac:dyDescent="0.3">
      <c r="A27" s="28">
        <v>22</v>
      </c>
      <c r="B27" s="162" t="s">
        <v>43</v>
      </c>
      <c r="C27" s="162" t="s">
        <v>54</v>
      </c>
      <c r="D27" s="128">
        <v>63</v>
      </c>
      <c r="E27" s="162" t="str">
        <f>IF(D27&gt;0,INDEX('[1]база участников'!$F$2:$F$101,MATCH(D27,'[1]база участников'!$D$2:$D$101),0),"")</f>
        <v>ВАЗ 2108</v>
      </c>
      <c r="F27" s="124" t="s">
        <v>122</v>
      </c>
      <c r="G27" s="135"/>
      <c r="H27" s="126"/>
    </row>
    <row r="28" spans="1:8" ht="20.25" x14ac:dyDescent="0.3">
      <c r="A28" s="28">
        <v>23</v>
      </c>
      <c r="B28" s="162" t="s">
        <v>43</v>
      </c>
      <c r="C28" s="162" t="s">
        <v>124</v>
      </c>
      <c r="D28" s="128">
        <v>50</v>
      </c>
      <c r="E28" s="162" t="str">
        <f>IF(D28&gt;0,INDEX('[1]база участников'!$F$2:$F$101,MATCH(D28,'[1]база участников'!$D$2:$D$101),0),"")</f>
        <v>ВАЗ 2108</v>
      </c>
      <c r="F28" s="124" t="s">
        <v>122</v>
      </c>
      <c r="G28" s="135"/>
      <c r="H28" s="126"/>
    </row>
    <row r="29" spans="1:8" ht="20.25" x14ac:dyDescent="0.3">
      <c r="A29" s="28">
        <v>24</v>
      </c>
      <c r="B29" s="162" t="s">
        <v>40</v>
      </c>
      <c r="C29" s="162" t="s">
        <v>125</v>
      </c>
      <c r="D29" s="128">
        <v>7</v>
      </c>
      <c r="E29" s="162" t="str">
        <f>IF(D29&gt;0,INDEX('[1]база участников'!$F$2:$F$101,MATCH(D29,'[1]база участников'!$D$2:$D$101),0),"")</f>
        <v>ВАЗ 2108</v>
      </c>
      <c r="F29" s="124" t="s">
        <v>122</v>
      </c>
      <c r="G29" s="135"/>
      <c r="H29" s="126"/>
    </row>
    <row r="30" spans="1:8" ht="20.25" x14ac:dyDescent="0.3">
      <c r="A30" s="28">
        <v>25</v>
      </c>
      <c r="B30" s="162" t="s">
        <v>45</v>
      </c>
      <c r="C30" s="162" t="s">
        <v>55</v>
      </c>
      <c r="D30" s="128">
        <v>77</v>
      </c>
      <c r="E30" s="162" t="str">
        <f>IF(D30&gt;0,INDEX('[1]база участников'!$F$2:$F$101,MATCH(D30,'[1]база участников'!$D$2:$D$101),0),"")</f>
        <v>ВАЗ 2108</v>
      </c>
      <c r="F30" s="124" t="s">
        <v>122</v>
      </c>
      <c r="G30" s="135"/>
      <c r="H30" s="126"/>
    </row>
    <row r="31" spans="1:8" ht="20.25" x14ac:dyDescent="0.3">
      <c r="A31" s="28">
        <v>26</v>
      </c>
      <c r="B31" s="162" t="s">
        <v>60</v>
      </c>
      <c r="C31" s="162" t="s">
        <v>59</v>
      </c>
      <c r="D31" s="128">
        <v>10</v>
      </c>
      <c r="E31" s="162" t="str">
        <f>IF(D31&gt;0,INDEX('база участников'!$F$2:$F$101,MATCH(D31,'база участников'!$D$2:$D$101),0),"")</f>
        <v>ВАЗ 2112</v>
      </c>
      <c r="F31" s="124" t="s">
        <v>122</v>
      </c>
      <c r="G31" s="135"/>
      <c r="H31" s="126"/>
    </row>
    <row r="32" spans="1:8" ht="20.25" x14ac:dyDescent="0.3">
      <c r="A32" s="28">
        <v>27</v>
      </c>
      <c r="B32" s="162" t="str">
        <f>IF(D32&gt;0,INDEX('база участников'!$C$2:$C$101,MATCH(D32,'база участников'!$D$2:$D$101),0),"")</f>
        <v/>
      </c>
      <c r="C32" s="162" t="str">
        <f>IF(D32&gt;0,INDEX('база участников'!$B$2:$B$101,MATCH(D32,'база участников'!$D$2:$D$101),0),"")</f>
        <v/>
      </c>
      <c r="D32" s="128"/>
      <c r="E32" s="162" t="str">
        <f>IF(D32&gt;0,INDEX('база участников'!$F$2:$F$101,MATCH(D32,'база участников'!$D$2:$D$101),0),"")</f>
        <v/>
      </c>
      <c r="F32" s="124"/>
      <c r="G32" s="135"/>
      <c r="H32" s="126"/>
    </row>
    <row r="33" spans="1:8" ht="20.25" x14ac:dyDescent="0.3">
      <c r="A33" s="28">
        <v>28</v>
      </c>
      <c r="B33" s="162" t="str">
        <f>IF(D33&gt;0,INDEX('база участников'!$C$2:$C$101,MATCH(D33,'база участников'!$D$2:$D$101),0),"")</f>
        <v/>
      </c>
      <c r="C33" s="162" t="str">
        <f>IF(D33&gt;0,INDEX('база участников'!$B$2:$B$101,MATCH(D33,'база участников'!$D$2:$D$101),0),"")</f>
        <v/>
      </c>
      <c r="D33" s="128"/>
      <c r="E33" s="162" t="str">
        <f>IF(D33&gt;0,INDEX('база участников'!$F$2:$F$101,MATCH(D33,'база участников'!$D$2:$D$101),0),"")</f>
        <v/>
      </c>
      <c r="F33" s="124"/>
      <c r="G33" s="135"/>
      <c r="H33" s="126"/>
    </row>
    <row r="34" spans="1:8" ht="20.25" x14ac:dyDescent="0.3">
      <c r="A34" s="28">
        <v>29</v>
      </c>
      <c r="B34" s="162" t="str">
        <f>IF(D34&gt;0,INDEX('база участников'!$C$2:$C$101,MATCH(D34,'база участников'!$D$2:$D$101),0),"")</f>
        <v/>
      </c>
      <c r="C34" s="162" t="str">
        <f>IF(D34&gt;0,INDEX('база участников'!$B$2:$B$101,MATCH(D34,'база участников'!$D$2:$D$101),0),"")</f>
        <v/>
      </c>
      <c r="D34" s="128"/>
      <c r="E34" s="162" t="str">
        <f>IF(D34&gt;0,INDEX('база участников'!$F$2:$F$101,MATCH(D34,'база участников'!$D$2:$D$101),0),"")</f>
        <v/>
      </c>
      <c r="F34" s="124"/>
      <c r="G34" s="135"/>
      <c r="H34" s="126"/>
    </row>
    <row r="35" spans="1:8" ht="20.25" x14ac:dyDescent="0.3">
      <c r="A35" s="28">
        <v>30</v>
      </c>
      <c r="B35" s="162" t="str">
        <f>IF(D35&gt;0,INDEX('база участников'!$C$2:$C$101,MATCH(D35,'база участников'!$D$2:$D$101),0),"")</f>
        <v/>
      </c>
      <c r="C35" s="162" t="str">
        <f>IF(D35&gt;0,INDEX('база участников'!$B$2:$B$101,MATCH(D35,'база участников'!$D$2:$D$101),0),"")</f>
        <v/>
      </c>
      <c r="D35" s="128"/>
      <c r="E35" s="162" t="str">
        <f>IF(D35&gt;0,INDEX('база участников'!$F$2:$F$101,MATCH(D35,'база участников'!$D$2:$D$101),0),"")</f>
        <v/>
      </c>
      <c r="F35" s="124"/>
      <c r="G35" s="135"/>
      <c r="H35" s="126"/>
    </row>
    <row r="36" spans="1:8" ht="20.25" x14ac:dyDescent="0.3">
      <c r="A36" s="28">
        <v>31</v>
      </c>
      <c r="B36" s="162" t="str">
        <f>IF(D36&gt;0,INDEX('база участников'!$C$2:$C$101,MATCH(D36,'база участников'!$D$2:$D$101),0),"")</f>
        <v/>
      </c>
      <c r="C36" s="162" t="str">
        <f>IF(D36&gt;0,INDEX('база участников'!$B$2:$B$101,MATCH(D36,'база участников'!$D$2:$D$101),0),"")</f>
        <v/>
      </c>
      <c r="D36" s="128"/>
      <c r="E36" s="162" t="str">
        <f>IF(D36&gt;0,INDEX('база участников'!$F$2:$F$101,MATCH(D36,'база участников'!$D$2:$D$101),0),"")</f>
        <v/>
      </c>
      <c r="F36" s="124"/>
      <c r="G36" s="135"/>
      <c r="H36" s="126"/>
    </row>
    <row r="37" spans="1:8" ht="20.25" x14ac:dyDescent="0.3">
      <c r="A37" s="28">
        <v>32</v>
      </c>
      <c r="B37" s="162" t="str">
        <f>IF(D37&gt;0,INDEX('база участников'!$C$2:$C$101,MATCH(D37,'база участников'!$D$2:$D$101),0),"")</f>
        <v/>
      </c>
      <c r="C37" s="162" t="str">
        <f>IF(D37&gt;0,INDEX('база участников'!$B$2:$B$101,MATCH(D37,'база участников'!$D$2:$D$101),0),"")</f>
        <v/>
      </c>
      <c r="D37" s="128"/>
      <c r="E37" s="162" t="str">
        <f>IF(D37&gt;0,INDEX('база участников'!$F$2:$F$101,MATCH(D37,'база участников'!$D$2:$D$101),0),"")</f>
        <v/>
      </c>
      <c r="F37" s="124"/>
      <c r="G37" s="135"/>
      <c r="H37" s="126"/>
    </row>
    <row r="38" spans="1:8" ht="20.25" x14ac:dyDescent="0.3">
      <c r="A38" s="28">
        <v>33</v>
      </c>
      <c r="B38" s="162" t="str">
        <f>IF(D38&gt;0,INDEX('база участников'!$C$2:$C$101,MATCH(D38,'база участников'!$D$2:$D$101),0),"")</f>
        <v/>
      </c>
      <c r="C38" s="162" t="str">
        <f>IF(D38&gt;0,INDEX('база участников'!$B$2:$B$101,MATCH(D38,'база участников'!$D$2:$D$101),0),"")</f>
        <v/>
      </c>
      <c r="D38" s="128"/>
      <c r="E38" s="162" t="str">
        <f>IF(D38&gt;0,INDEX('база участников'!$F$2:$F$101,MATCH(D38,'база участников'!$D$2:$D$101),0),"")</f>
        <v/>
      </c>
      <c r="F38" s="124"/>
      <c r="G38" s="135"/>
      <c r="H38" s="126"/>
    </row>
    <row r="39" spans="1:8" ht="20.25" x14ac:dyDescent="0.3">
      <c r="A39" s="28">
        <v>34</v>
      </c>
      <c r="B39" s="162" t="str">
        <f>IF(D39&gt;0,INDEX('база участников'!$C$2:$C$101,MATCH(D39,'база участников'!$D$2:$D$101),0),"")</f>
        <v/>
      </c>
      <c r="C39" s="162" t="str">
        <f>IF(D39&gt;0,INDEX('база участников'!$B$2:$B$101,MATCH(D39,'база участников'!$D$2:$D$101),0),"")</f>
        <v/>
      </c>
      <c r="D39" s="128"/>
      <c r="E39" s="162" t="str">
        <f>IF(D39&gt;0,INDEX('база участников'!$F$2:$F$101,MATCH(D39,'база участников'!$D$2:$D$101),0),"")</f>
        <v/>
      </c>
      <c r="F39" s="124"/>
      <c r="G39" s="135"/>
      <c r="H39" s="126"/>
    </row>
    <row r="40" spans="1:8" ht="20.25" x14ac:dyDescent="0.3">
      <c r="A40" s="28">
        <v>35</v>
      </c>
      <c r="B40" s="162" t="str">
        <f>IF(D40&gt;0,INDEX('база участников'!$C$2:$C$101,MATCH(D40,'база участников'!$D$2:$D$101),0),"")</f>
        <v/>
      </c>
      <c r="C40" s="162" t="str">
        <f>IF(D40&gt;0,INDEX('база участников'!$B$2:$B$101,MATCH(D40,'база участников'!$D$2:$D$101),0),"")</f>
        <v/>
      </c>
      <c r="D40" s="128"/>
      <c r="E40" s="162" t="str">
        <f>IF(D40&gt;0,INDEX('база участников'!$F$2:$F$101,MATCH(D40,'база участников'!$D$2:$D$101),0),"")</f>
        <v/>
      </c>
      <c r="F40" s="124"/>
      <c r="G40" s="135"/>
      <c r="H40" s="126"/>
    </row>
    <row r="41" spans="1:8" ht="20.25" x14ac:dyDescent="0.3">
      <c r="A41" s="28">
        <v>36</v>
      </c>
      <c r="B41" s="162" t="str">
        <f>IF(D41&gt;0,INDEX('база участников'!$C$2:$C$101,MATCH(D41,'база участников'!$D$2:$D$101),0),"")</f>
        <v/>
      </c>
      <c r="C41" s="162" t="str">
        <f>IF(D41&gt;0,INDEX('база участников'!$B$2:$B$101,MATCH(D41,'база участников'!$D$2:$D$101),0),"")</f>
        <v/>
      </c>
      <c r="D41" s="128"/>
      <c r="E41" s="162" t="str">
        <f>IF(D41&gt;0,INDEX('база участников'!$F$2:$F$101,MATCH(D41,'база участников'!$D$2:$D$101),0),"")</f>
        <v/>
      </c>
      <c r="F41" s="124"/>
      <c r="G41" s="135"/>
      <c r="H41" s="126"/>
    </row>
    <row r="42" spans="1:8" ht="20.25" x14ac:dyDescent="0.3">
      <c r="A42" s="28">
        <v>37</v>
      </c>
      <c r="B42" s="162" t="str">
        <f>IF(D42&gt;0,INDEX('база участников'!$C$2:$C$101,MATCH(D42,'база участников'!$D$2:$D$101),0),"")</f>
        <v/>
      </c>
      <c r="C42" s="162" t="str">
        <f>IF(D42&gt;0,INDEX('база участников'!$B$2:$B$101,MATCH(D42,'база участников'!$D$2:$D$101),0),"")</f>
        <v/>
      </c>
      <c r="D42" s="128"/>
      <c r="E42" s="162" t="str">
        <f>IF(D42&gt;0,INDEX('база участников'!$F$2:$F$101,MATCH(D42,'база участников'!$D$2:$D$101),0),"")</f>
        <v/>
      </c>
      <c r="F42" s="124"/>
      <c r="G42" s="135"/>
      <c r="H42" s="126"/>
    </row>
    <row r="43" spans="1:8" ht="20.25" x14ac:dyDescent="0.3">
      <c r="A43" s="28">
        <v>38</v>
      </c>
      <c r="B43" s="162" t="str">
        <f>IF(D43&gt;0,INDEX('база участников'!$C$2:$C$101,MATCH(D43,'база участников'!$D$2:$D$101),0),"")</f>
        <v/>
      </c>
      <c r="C43" s="162" t="str">
        <f>IF(D43&gt;0,INDEX('база участников'!$B$2:$B$101,MATCH(D43,'база участников'!$D$2:$D$101),0),"")</f>
        <v/>
      </c>
      <c r="D43" s="128"/>
      <c r="E43" s="162" t="str">
        <f>IF(D43&gt;0,INDEX('база участников'!$F$2:$F$101,MATCH(D43,'база участников'!$D$2:$D$101),0),"")</f>
        <v/>
      </c>
      <c r="F43" s="124"/>
      <c r="G43" s="135"/>
      <c r="H43" s="126"/>
    </row>
    <row r="44" spans="1:8" ht="20.25" x14ac:dyDescent="0.3">
      <c r="A44" s="28">
        <v>39</v>
      </c>
      <c r="B44" s="162" t="str">
        <f>IF(D44&gt;0,INDEX('база участников'!$C$2:$C$101,MATCH(D44,'база участников'!$D$2:$D$101),0),"")</f>
        <v/>
      </c>
      <c r="C44" s="162" t="str">
        <f>IF(D44&gt;0,INDEX('база участников'!$B$2:$B$101,MATCH(D44,'база участников'!$D$2:$D$101),0),"")</f>
        <v/>
      </c>
      <c r="D44" s="128"/>
      <c r="E44" s="162" t="str">
        <f>IF(D44&gt;0,INDEX('база участников'!$F$2:$F$101,MATCH(D44,'база участников'!$D$2:$D$101),0),"")</f>
        <v/>
      </c>
      <c r="F44" s="124"/>
      <c r="G44" s="135"/>
      <c r="H44" s="126"/>
    </row>
    <row r="45" spans="1:8" ht="20.25" x14ac:dyDescent="0.3">
      <c r="A45" s="28">
        <v>40</v>
      </c>
      <c r="B45" s="162" t="str">
        <f>IF(D45&gt;0,INDEX('база участников'!$C$2:$C$101,MATCH(D45,'база участников'!$D$2:$D$101),0),"")</f>
        <v/>
      </c>
      <c r="C45" s="162" t="str">
        <f>IF(D45&gt;0,INDEX('база участников'!$B$2:$B$101,MATCH(D45,'база участников'!$D$2:$D$101),0),"")</f>
        <v/>
      </c>
      <c r="D45" s="128"/>
      <c r="E45" s="162" t="str">
        <f>IF(D45&gt;0,INDEX('база участников'!$F$2:$F$101,MATCH(D45,'база участников'!$D$2:$D$101),0),"")</f>
        <v/>
      </c>
      <c r="F45" s="124"/>
      <c r="G45" s="135"/>
      <c r="H45" s="126"/>
    </row>
    <row r="46" spans="1:8" ht="20.25" x14ac:dyDescent="0.3">
      <c r="A46" s="28">
        <v>41</v>
      </c>
      <c r="B46" s="162" t="str">
        <f>IF(D46&gt;0,INDEX('база участников'!$C$2:$C$101,MATCH(D46,'база участников'!$D$2:$D$101),0),"")</f>
        <v/>
      </c>
      <c r="C46" s="162" t="str">
        <f>IF(D46&gt;0,INDEX('база участников'!$B$2:$B$101,MATCH(D46,'база участников'!$D$2:$D$101),0),"")</f>
        <v/>
      </c>
      <c r="D46" s="128"/>
      <c r="E46" s="162" t="str">
        <f>IF(D46&gt;0,INDEX('база участников'!$F$2:$F$101,MATCH(D46,'база участников'!$D$2:$D$101),0),"")</f>
        <v/>
      </c>
      <c r="F46" s="124"/>
      <c r="G46" s="135"/>
      <c r="H46" s="126"/>
    </row>
  </sheetData>
  <mergeCells count="3">
    <mergeCell ref="A25:H25"/>
    <mergeCell ref="A4:H4"/>
    <mergeCell ref="A1:G1"/>
  </mergeCells>
  <phoneticPr fontId="0" type="noConversion"/>
  <pageMargins left="0.75" right="0.75" top="1" bottom="1" header="0.5" footer="0.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E37"/>
  <sheetViews>
    <sheetView zoomScaleNormal="100" workbookViewId="0">
      <selection activeCell="M13" sqref="M13"/>
    </sheetView>
  </sheetViews>
  <sheetFormatPr defaultRowHeight="12.75" x14ac:dyDescent="0.2"/>
  <cols>
    <col min="1" max="1" width="6.140625" customWidth="1"/>
    <col min="2" max="2" width="15" customWidth="1"/>
    <col min="3" max="3" width="10.5703125" bestFit="1" customWidth="1"/>
    <col min="4" max="4" width="6.140625" bestFit="1" customWidth="1"/>
    <col min="5" max="5" width="9.28515625" bestFit="1" customWidth="1"/>
    <col min="6" max="6" width="6" customWidth="1"/>
    <col min="7" max="7" width="9.5703125" customWidth="1"/>
    <col min="8" max="8" width="5" customWidth="1"/>
    <col min="9" max="9" width="6" customWidth="1"/>
    <col min="10" max="10" width="9.42578125" customWidth="1"/>
    <col min="11" max="11" width="5.7109375" customWidth="1"/>
    <col min="12" max="12" width="6.7109375" customWidth="1"/>
    <col min="13" max="13" width="9.7109375" customWidth="1"/>
    <col min="14" max="14" width="6" customWidth="1"/>
    <col min="15" max="15" width="6.28515625" customWidth="1"/>
    <col min="16" max="16" width="10.140625" bestFit="1" customWidth="1"/>
  </cols>
  <sheetData>
    <row r="1" spans="1:31" x14ac:dyDescent="0.2">
      <c r="A1" s="183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T1" s="185" t="str">
        <f>IF(AND($F$30&gt;0,$H$7=0),"решётка 1-го заезда","")</f>
        <v/>
      </c>
      <c r="U1" s="186"/>
      <c r="V1" s="186"/>
      <c r="W1" s="186"/>
      <c r="X1" s="186"/>
      <c r="AA1" s="185" t="str">
        <f>IF($K$7&gt;0,"решётка 3-го заезда","")</f>
        <v>решётка 3-го заезда</v>
      </c>
      <c r="AB1" s="186"/>
      <c r="AC1" s="186"/>
      <c r="AD1" s="186"/>
      <c r="AE1" s="186"/>
    </row>
    <row r="2" spans="1:31" x14ac:dyDescent="0.2">
      <c r="B2" s="37" t="s">
        <v>8</v>
      </c>
      <c r="C2" s="3"/>
      <c r="D2" s="1"/>
      <c r="F2" t="str">
        <f>'протокол регистрации'!G2</f>
        <v>Полярные Зори</v>
      </c>
      <c r="H2" s="4"/>
      <c r="P2" s="2">
        <f>'протокол регистрации'!H1</f>
        <v>42400</v>
      </c>
    </row>
    <row r="3" spans="1:31" ht="25.5" x14ac:dyDescent="0.2">
      <c r="B3" s="120" t="s">
        <v>116</v>
      </c>
      <c r="C3" s="129">
        <v>5</v>
      </c>
      <c r="D3" s="1"/>
      <c r="H3" s="4"/>
      <c r="P3" s="2"/>
    </row>
    <row r="4" spans="1:31" x14ac:dyDescent="0.2">
      <c r="B4" s="3" t="s">
        <v>117</v>
      </c>
      <c r="C4" s="37">
        <f>C3*0.8</f>
        <v>4</v>
      </c>
      <c r="D4" s="1"/>
      <c r="H4" s="4"/>
      <c r="P4" s="2"/>
    </row>
    <row r="5" spans="1:31" x14ac:dyDescent="0.2">
      <c r="A5" s="32" t="s">
        <v>9</v>
      </c>
      <c r="B5" s="36" t="s">
        <v>1</v>
      </c>
      <c r="C5" s="36" t="s">
        <v>2</v>
      </c>
      <c r="D5" s="36" t="s">
        <v>3</v>
      </c>
      <c r="E5" s="188" t="s">
        <v>10</v>
      </c>
      <c r="F5" s="189"/>
      <c r="G5" s="180" t="s">
        <v>13</v>
      </c>
      <c r="H5" s="181"/>
      <c r="I5" s="182"/>
      <c r="J5" s="180" t="s">
        <v>14</v>
      </c>
      <c r="K5" s="181"/>
      <c r="L5" s="182"/>
      <c r="M5" s="180" t="s">
        <v>15</v>
      </c>
      <c r="N5" s="181"/>
      <c r="O5" s="182"/>
      <c r="P5" s="187" t="s">
        <v>16</v>
      </c>
      <c r="Q5" s="187"/>
      <c r="S5" t="str">
        <f>IF(AND($F$30&gt;0,$H$7=0),"1-й ряд","")</f>
        <v/>
      </c>
      <c r="T5" s="31" t="str">
        <f>IF(AND($F$30&gt;0,$H$7=0),INDEX($D$7:$D$26,MATCH(1,$F$7:$F$26,0)),"")</f>
        <v/>
      </c>
      <c r="U5" s="31"/>
      <c r="V5" s="31" t="str">
        <f>IF(AND($F$30&gt;0,$H$7=0),INDEX($D$7:$D$26,MATCH(2,$F$7:$F$26,0)),"")</f>
        <v/>
      </c>
      <c r="W5" s="31"/>
      <c r="X5" s="31" t="str">
        <f>IF(AND($F$30&gt;0,$H$7=0),INDEX($D$7:$D$26,MATCH(3,$F$7:$F$26,0)),"")</f>
        <v/>
      </c>
      <c r="Z5" t="str">
        <f>IF($K$7&gt;0,"1-й ряд","")</f>
        <v>1-й ряд</v>
      </c>
      <c r="AA5" s="31">
        <f>IF($K$7&gt;0,INDEX($D$7:$D$26,MATCH(1,$K$7:$K$26,0)),"")</f>
        <v>39</v>
      </c>
      <c r="AB5" s="31"/>
      <c r="AC5" s="31">
        <f>IF($K$7&gt;0,INDEX($D$7:$D$26,MATCH(2,$K$7:$K$26,0)),"")</f>
        <v>50</v>
      </c>
      <c r="AD5" s="31"/>
      <c r="AE5" s="31">
        <f>IF($K$7&gt;0,INDEX($D$7:$D$26,MATCH(3,$K$7:$K$26,0)),"")</f>
        <v>63</v>
      </c>
    </row>
    <row r="6" spans="1:31" ht="25.5" x14ac:dyDescent="0.2">
      <c r="A6" s="32"/>
      <c r="B6" s="32"/>
      <c r="C6" s="32"/>
      <c r="D6" s="32"/>
      <c r="E6" s="32" t="s">
        <v>11</v>
      </c>
      <c r="F6" s="32" t="s">
        <v>12</v>
      </c>
      <c r="G6" s="121" t="s">
        <v>118</v>
      </c>
      <c r="H6" s="32" t="s">
        <v>12</v>
      </c>
      <c r="I6" s="32" t="s">
        <v>17</v>
      </c>
      <c r="J6" s="121" t="s">
        <v>118</v>
      </c>
      <c r="K6" s="32" t="s">
        <v>12</v>
      </c>
      <c r="L6" s="32" t="s">
        <v>17</v>
      </c>
      <c r="M6" s="121" t="s">
        <v>118</v>
      </c>
      <c r="N6" s="32" t="s">
        <v>12</v>
      </c>
      <c r="O6" s="32" t="s">
        <v>17</v>
      </c>
      <c r="P6" s="32" t="s">
        <v>17</v>
      </c>
      <c r="Q6" s="32" t="s">
        <v>12</v>
      </c>
      <c r="T6" s="31"/>
      <c r="U6" s="1"/>
      <c r="V6" s="1"/>
      <c r="W6" s="1"/>
      <c r="X6" s="1"/>
      <c r="AA6" s="31"/>
      <c r="AB6" s="1"/>
      <c r="AC6" s="1"/>
      <c r="AD6" s="1"/>
      <c r="AE6" s="1"/>
    </row>
    <row r="7" spans="1:31" x14ac:dyDescent="0.2">
      <c r="A7" s="39">
        <v>1</v>
      </c>
      <c r="B7" s="166" t="str">
        <f>IF('протокол регистрации'!B5&gt;0,'протокол регистрации'!B5,"")</f>
        <v>Роман</v>
      </c>
      <c r="C7" s="165" t="str">
        <f>IF('протокол регистрации'!C5&gt;0,'протокол регистрации'!C5,"")</f>
        <v>Румачик</v>
      </c>
      <c r="D7" s="33">
        <f>'протокол регистрации'!D5</f>
        <v>39</v>
      </c>
      <c r="E7" s="167">
        <v>9.5057870370370381E-4</v>
      </c>
      <c r="F7" s="168">
        <f>IF(E7&gt;0,RANK(E7,$E$7:$E$26,1),"")</f>
        <v>2</v>
      </c>
      <c r="G7" s="131">
        <v>5</v>
      </c>
      <c r="H7" s="132">
        <v>2</v>
      </c>
      <c r="I7" s="38">
        <f>IF(G7&gt;=$C$4,INDEX('таблица Б'!$B$3:$T$22,H7,COUNT($G$7:$G$26)-1),0)</f>
        <v>81</v>
      </c>
      <c r="J7" s="134">
        <v>5</v>
      </c>
      <c r="K7" s="132">
        <v>1</v>
      </c>
      <c r="L7" s="38">
        <f>IF(J7&gt;=$C$4,INDEX('таблица Б'!$B$3:$T$22,K7,COUNT($J$7:$J$26)-1),0)</f>
        <v>100</v>
      </c>
      <c r="M7" s="134">
        <v>5</v>
      </c>
      <c r="N7" s="132">
        <v>3</v>
      </c>
      <c r="O7" s="38">
        <f>IF(M7&gt;=$C$4,INDEX('таблица Б'!$B$3:$T$22,N7,COUNT($M$7:$M$26)-1),0)</f>
        <v>57</v>
      </c>
      <c r="P7" s="32">
        <f>IF(N7=0,"",LARGE((I7,L7,O7),1)+LARGE((I7,L7,O7),2))</f>
        <v>181</v>
      </c>
      <c r="Q7" s="109">
        <f>IF(N7&gt;0,RANK(P7,P$7:P$26,0),"")</f>
        <v>1</v>
      </c>
      <c r="S7" t="str">
        <f>IF(AND($E$10&gt;0,$H$7=0),"2-й ряд","")</f>
        <v/>
      </c>
      <c r="T7" s="1"/>
      <c r="U7" s="31" t="str">
        <f>IF(AND($E$10&gt;0,$H$7=0),INDEX($D$7:$D$26,MATCH(4,$F$7:$F$26,0)),"")</f>
        <v/>
      </c>
      <c r="V7" s="1"/>
      <c r="W7" s="31" t="str">
        <f>IF(AND($E$10&gt;0,$H$7=0),INDEX($D$7:$D$26,MATCH(5,$F$7:$F$26,0)),"")</f>
        <v/>
      </c>
      <c r="X7" s="1"/>
      <c r="Z7" t="str">
        <f>IF($K$10&gt;0,"2-й ряд","")</f>
        <v>2-й ряд</v>
      </c>
      <c r="AA7" s="1"/>
      <c r="AB7" s="31">
        <f>IF($K$10&gt;0,INDEX($D$7:$D$26,MATCH(4,$K$7:$K$26,0)),"")</f>
        <v>77</v>
      </c>
      <c r="AC7" s="1"/>
      <c r="AD7" s="31">
        <f>IF($K$10&gt;0,INDEX($D$7:$D$26,MATCH(5,$K$7:$K$26,0)),"")</f>
        <v>73</v>
      </c>
      <c r="AE7" s="1"/>
    </row>
    <row r="8" spans="1:31" x14ac:dyDescent="0.2">
      <c r="A8" s="39">
        <v>2</v>
      </c>
      <c r="B8" s="166" t="str">
        <f>IF('протокол регистрации'!B6&gt;0,'протокол регистрации'!B6,"")</f>
        <v>Антон</v>
      </c>
      <c r="C8" s="165" t="str">
        <f>IF('протокол регистрации'!C6&gt;0,'протокол регистрации'!C6,"")</f>
        <v>Ильницкий</v>
      </c>
      <c r="D8" s="33">
        <f>'протокол регистрации'!D6</f>
        <v>63</v>
      </c>
      <c r="E8" s="130">
        <v>9.5277777777777765E-4</v>
      </c>
      <c r="F8" s="32">
        <f>IF(E8&gt;0,RANK(E8,$E$7:$E$26,1),"")</f>
        <v>3</v>
      </c>
      <c r="G8" s="131">
        <v>5</v>
      </c>
      <c r="H8" s="132">
        <v>1</v>
      </c>
      <c r="I8" s="38">
        <f>IF(G8&gt;=$C$4,INDEX('таблица Б'!$B$3:$T$22,H8,COUNT($G$7:$G$26)-1),0)</f>
        <v>100</v>
      </c>
      <c r="J8" s="134">
        <v>5</v>
      </c>
      <c r="K8" s="132">
        <v>3</v>
      </c>
      <c r="L8" s="38">
        <f>IF(J8&gt;=$C$4,INDEX('таблица Б'!$B$3:$T$22,K8,COUNT($J$7:$J$26)-1),0)</f>
        <v>66</v>
      </c>
      <c r="M8" s="134">
        <v>5</v>
      </c>
      <c r="N8" s="133">
        <v>2</v>
      </c>
      <c r="O8" s="38">
        <f>IF(M8&gt;=$C$4,INDEX('таблица Б'!$B$3:$T$22,N8,COUNT($M$7:$M$26)-1),0)</f>
        <v>72</v>
      </c>
      <c r="P8" s="32">
        <f>IF(N8=0,"",LARGE((I8,L8,O8),1)+LARGE((I8,L8,O8),2))</f>
        <v>172</v>
      </c>
      <c r="Q8" s="109">
        <f t="shared" ref="Q8:Q26" si="0">IF(N8&gt;0,RANK(P8,P$7:P$26,0),"")</f>
        <v>2</v>
      </c>
      <c r="T8" s="1"/>
      <c r="U8" s="1"/>
      <c r="V8" s="1"/>
      <c r="W8" s="1"/>
      <c r="X8" s="1"/>
      <c r="AA8" s="1"/>
      <c r="AB8" s="1"/>
      <c r="AC8" s="1"/>
      <c r="AD8" s="1"/>
      <c r="AE8" s="1"/>
    </row>
    <row r="9" spans="1:31" x14ac:dyDescent="0.2">
      <c r="A9" s="39">
        <v>3</v>
      </c>
      <c r="B9" s="166" t="str">
        <f>IF('протокол регистрации'!B7&gt;0,'протокол регистрации'!B7,"")</f>
        <v>Сергей</v>
      </c>
      <c r="C9" s="165" t="str">
        <f>IF('протокол регистрации'!C7&gt;0,'протокол регистрации'!C7,"")</f>
        <v>Богатырев</v>
      </c>
      <c r="D9" s="33">
        <f>IF('протокол регистрации'!D7&gt;0,'протокол регистрации'!D7,"")</f>
        <v>3</v>
      </c>
      <c r="E9" s="130">
        <v>1.0103009259259258E-3</v>
      </c>
      <c r="F9" s="168">
        <f t="shared" ref="F9:F16" si="1">IF(E9&gt;0,RANK(E9,$E$7:$E$26,1),"")</f>
        <v>7</v>
      </c>
      <c r="G9" s="131">
        <v>5</v>
      </c>
      <c r="H9" s="132">
        <v>7</v>
      </c>
      <c r="I9" s="38">
        <f>IF(G9&gt;=$C$4,INDEX('таблица Б'!$B$3:$T$22,H9,COUNT($G$7:$G$26)-1),0)</f>
        <v>25</v>
      </c>
      <c r="J9" s="134">
        <v>5</v>
      </c>
      <c r="K9" s="133">
        <v>8</v>
      </c>
      <c r="L9" s="38">
        <f>IF(J9&gt;=$C$4,INDEX('таблица Б'!$B$3:$T$22,K9,COUNT($J$7:$J$26)-1),0)</f>
        <v>16</v>
      </c>
      <c r="M9" s="134">
        <v>5</v>
      </c>
      <c r="N9" s="132">
        <v>7</v>
      </c>
      <c r="O9" s="38">
        <f>IF(M9&gt;=$C$4,INDEX('таблица Б'!$B$3:$T$22,N9,COUNT($M$7:$M$26)-1),0)</f>
        <v>17</v>
      </c>
      <c r="P9" s="32">
        <f>IF(N9=0,"",LARGE((I9,L9,O9),1)+LARGE((I9,L9,O9),2))</f>
        <v>42</v>
      </c>
      <c r="Q9" s="109">
        <f t="shared" si="0"/>
        <v>8</v>
      </c>
      <c r="S9" t="str">
        <f>IF(AND($E$12&gt;0,$H$7=0),"3-й ряд","")</f>
        <v/>
      </c>
      <c r="T9" s="31" t="str">
        <f>IF(AND($E$12&gt;0,$H$7=0),INDEX($D$7:$D$26,MATCH(6,$F$7:$F$26,0)),"")</f>
        <v/>
      </c>
      <c r="U9" s="31"/>
      <c r="V9" s="31" t="str">
        <f>IF(AND($E$12&gt;0,$H$7=0),INDEX($D$7:$D$26,MATCH(7,$F$7:$F$26,0)),"")</f>
        <v/>
      </c>
      <c r="W9" s="31"/>
      <c r="X9" s="31" t="str">
        <f>IF(AND($E$12&gt;0,$H$7=0),INDEX($D$7:$D$26,MATCH(8,$F$7:$F$26,0)),"")</f>
        <v/>
      </c>
      <c r="Z9" t="str">
        <f>IF($K$12&gt;0,"3-й ряд","")</f>
        <v>3-й ряд</v>
      </c>
      <c r="AA9" s="31">
        <f>IF($K$12&gt;0,INDEX($D$7:$D$26,MATCH(6,$K$7:$K$26,0)),"")</f>
        <v>71</v>
      </c>
      <c r="AB9" s="31"/>
      <c r="AC9" s="31">
        <f>IF($K$12&gt;0,INDEX($D$7:$D$26,MATCH(7,$K$7:$K$26,0)),"")</f>
        <v>15</v>
      </c>
      <c r="AD9" s="31"/>
      <c r="AE9" s="31">
        <f>IF($K$12&gt;0,INDEX($D$7:$D$26,MATCH(8,$K$7:$K$26,0)),"")</f>
        <v>3</v>
      </c>
    </row>
    <row r="10" spans="1:31" x14ac:dyDescent="0.2">
      <c r="A10" s="39">
        <v>4</v>
      </c>
      <c r="B10" s="166" t="str">
        <f>IF('протокол регистрации'!B8&gt;0,'протокол регистрации'!B8,"")</f>
        <v>Евгений</v>
      </c>
      <c r="C10" s="165" t="str">
        <f>IF('протокол регистрации'!C8&gt;0,'протокол регистрации'!C8,"")</f>
        <v>Тыщук</v>
      </c>
      <c r="D10" s="33">
        <f>IF('протокол регистрации'!D8&gt;0,'протокол регистрации'!D8,"")</f>
        <v>71</v>
      </c>
      <c r="E10" s="130">
        <v>9.7430555555555552E-4</v>
      </c>
      <c r="F10" s="168">
        <f t="shared" si="1"/>
        <v>5</v>
      </c>
      <c r="G10" s="131">
        <v>3</v>
      </c>
      <c r="H10" s="132">
        <v>9</v>
      </c>
      <c r="I10" s="38">
        <f>IF(G10&gt;=$C$4,INDEX('таблица Б'!$B$3:$T$22,H10,COUNT($G$7:$G$26)-1),0)</f>
        <v>0</v>
      </c>
      <c r="J10" s="134">
        <v>5</v>
      </c>
      <c r="K10" s="132">
        <v>6</v>
      </c>
      <c r="L10" s="38">
        <f>IF(J10&gt;=$C$4,INDEX('таблица Б'!$B$3:$T$22,K10,COUNT($J$7:$J$26)-1),0)</f>
        <v>34</v>
      </c>
      <c r="M10" s="134">
        <v>5</v>
      </c>
      <c r="N10" s="132">
        <v>5</v>
      </c>
      <c r="O10" s="38">
        <f>IF(M10&gt;=$C$4,INDEX('таблица Б'!$B$3:$T$22,N10,COUNT($M$7:$M$26)-1),0)</f>
        <v>35</v>
      </c>
      <c r="P10" s="32">
        <f>IF(N10=0,"",LARGE((I10,L10,O10),1)+LARGE((I10,L10,O10),2))</f>
        <v>69</v>
      </c>
      <c r="Q10" s="109">
        <f t="shared" si="0"/>
        <v>6</v>
      </c>
      <c r="T10" s="1"/>
      <c r="U10" s="1"/>
      <c r="V10" s="1"/>
      <c r="W10" s="1"/>
      <c r="X10" s="1"/>
      <c r="AA10" s="1"/>
      <c r="AB10" s="1"/>
      <c r="AC10" s="1"/>
      <c r="AD10" s="1"/>
      <c r="AE10" s="1"/>
    </row>
    <row r="11" spans="1:31" x14ac:dyDescent="0.2">
      <c r="A11" s="39">
        <v>5</v>
      </c>
      <c r="B11" s="166" t="str">
        <f>IF('протокол регистрации'!B9&gt;0,'протокол регистрации'!B9,"")</f>
        <v>Антон</v>
      </c>
      <c r="C11" s="165" t="str">
        <f>IF('протокол регистрации'!C9&gt;0,'протокол регистрации'!C9,"")</f>
        <v>Тихонов</v>
      </c>
      <c r="D11" s="33">
        <f>IF('протокол регистрации'!D9&gt;0,'протокол регистрации'!D9,"")</f>
        <v>50</v>
      </c>
      <c r="E11" s="130">
        <v>9.4201388888888894E-4</v>
      </c>
      <c r="F11" s="168">
        <f t="shared" si="1"/>
        <v>1</v>
      </c>
      <c r="G11" s="131">
        <v>5</v>
      </c>
      <c r="H11" s="132">
        <v>4</v>
      </c>
      <c r="I11" s="38">
        <f>IF(G11&gt;=$C$4,INDEX('таблица Б'!$B$3:$T$22,H11,COUNT($G$7:$G$26)-1),0)</f>
        <v>54</v>
      </c>
      <c r="J11" s="134">
        <v>5</v>
      </c>
      <c r="K11" s="132">
        <v>2</v>
      </c>
      <c r="L11" s="38">
        <f>IF(J11&gt;=$C$4,INDEX('таблица Б'!$B$3:$T$22,K11,COUNT($J$7:$J$26)-1),0)</f>
        <v>81</v>
      </c>
      <c r="M11" s="134">
        <v>5</v>
      </c>
      <c r="N11" s="132">
        <v>1</v>
      </c>
      <c r="O11" s="38">
        <f>IF(M11&gt;=$C$4,INDEX('таблица Б'!$B$3:$T$22,N11,COUNT($M$7:$M$26)-1),0)</f>
        <v>90</v>
      </c>
      <c r="P11" s="32">
        <f>IF(N11=0,"",LARGE((I11,L11,O11),1)+LARGE((I11,L11,O11),2))</f>
        <v>171</v>
      </c>
      <c r="Q11" s="109">
        <f t="shared" si="0"/>
        <v>3</v>
      </c>
      <c r="S11" t="str">
        <f>IF(AND($E$15&gt;0,$H$7=0),"4-й ряд","")</f>
        <v/>
      </c>
      <c r="T11" s="1"/>
      <c r="U11" s="31" t="str">
        <f>IF(AND($E$15&gt;0,$H$7=0),INDEX($D$7:$D$26,MATCH(9,$F$7:$F$26,0)),"")</f>
        <v/>
      </c>
      <c r="V11" s="31"/>
      <c r="W11" s="31" t="str">
        <f>IF(AND($E$15&gt;0,$H$7=0),INDEX($D$7:$D$26,MATCH(10,$F$7:$F$26,0)),"")</f>
        <v/>
      </c>
      <c r="X11" s="1"/>
      <c r="Z11" t="str">
        <f>IF($K$15&gt;0,"4-й ряд","")</f>
        <v>4-й ряд</v>
      </c>
      <c r="AA11" s="1"/>
      <c r="AB11" s="31">
        <f>IF($K$15&gt;0,INDEX($D$7:$D$26,MATCH(9,$K$7:$K$26,0)),"")</f>
        <v>88</v>
      </c>
      <c r="AC11" s="31"/>
      <c r="AD11" s="31">
        <f>IF($K$15&gt;0,INDEX($D$7:$D$26,MATCH(10,$K$7:$K$26,0)),"")</f>
        <v>7</v>
      </c>
      <c r="AE11" s="1"/>
    </row>
    <row r="12" spans="1:31" x14ac:dyDescent="0.2">
      <c r="A12" s="39">
        <v>6</v>
      </c>
      <c r="B12" s="166" t="str">
        <f>IF('протокол регистрации'!B10&gt;0,'протокол регистрации'!B10,"")</f>
        <v>Дмитрий</v>
      </c>
      <c r="C12" s="165" t="str">
        <f>IF('протокол регистрации'!C10&gt;0,'протокол регистрации'!C10,"")</f>
        <v>Ходий</v>
      </c>
      <c r="D12" s="33">
        <f>IF('протокол регистрации'!D10&gt;0,'протокол регистрации'!D10,"")</f>
        <v>7</v>
      </c>
      <c r="E12" s="130">
        <v>9.7002314814814824E-4</v>
      </c>
      <c r="F12" s="168">
        <f t="shared" si="1"/>
        <v>4</v>
      </c>
      <c r="G12" s="131">
        <v>3</v>
      </c>
      <c r="H12" s="132">
        <v>10</v>
      </c>
      <c r="I12" s="38">
        <f>IF(G12&gt;=$C$4,INDEX('таблица Б'!$B$3:$T$22,H12,COUNT($G$7:$G$26)-1),0)</f>
        <v>0</v>
      </c>
      <c r="J12" s="134">
        <v>1</v>
      </c>
      <c r="K12" s="132">
        <v>10</v>
      </c>
      <c r="L12" s="38">
        <f>IF(J12&gt;=$C$4,INDEX('таблица Б'!$B$3:$T$22,K12,COUNT($J$7:$J$26)-1),0)</f>
        <v>0</v>
      </c>
      <c r="M12" s="134" t="s">
        <v>132</v>
      </c>
      <c r="N12" s="133">
        <v>10</v>
      </c>
      <c r="O12" s="38">
        <f>IF(M12&gt;=$C$4,INDEX('таблица Б'!$B$3:$T$22,N12,COUNT($M$7:$M$26)-1),0)</f>
        <v>0</v>
      </c>
      <c r="P12" s="168">
        <f>IF(N12=0,"",LARGE((I12,L12,O12),1)+LARGE((I12,L12,O12),2))</f>
        <v>0</v>
      </c>
      <c r="Q12" s="109">
        <f t="shared" si="0"/>
        <v>10</v>
      </c>
      <c r="T12" s="1"/>
      <c r="U12" s="1"/>
      <c r="V12" s="1"/>
      <c r="W12" s="1"/>
      <c r="X12" s="1"/>
      <c r="AA12" s="1"/>
      <c r="AB12" s="1"/>
      <c r="AC12" s="1"/>
      <c r="AD12" s="1"/>
      <c r="AE12" s="1"/>
    </row>
    <row r="13" spans="1:31" x14ac:dyDescent="0.2">
      <c r="A13" s="39">
        <v>7</v>
      </c>
      <c r="B13" s="166" t="str">
        <f>IF('протокол регистрации'!B11&gt;0,'протокол регистрации'!B11,"")</f>
        <v>Алексей</v>
      </c>
      <c r="C13" s="165" t="str">
        <f>IF('протокол регистрации'!C11&gt;0,'протокол регистрации'!C11,"")</f>
        <v>Алдабаев</v>
      </c>
      <c r="D13" s="33">
        <f>IF('протокол регистрации'!D11&gt;0,'протокол регистрации'!D11,"")</f>
        <v>15</v>
      </c>
      <c r="E13" s="130">
        <v>1.0138888888888888E-3</v>
      </c>
      <c r="F13" s="168">
        <f t="shared" si="1"/>
        <v>8</v>
      </c>
      <c r="G13" s="131">
        <v>5</v>
      </c>
      <c r="H13" s="132">
        <v>6</v>
      </c>
      <c r="I13" s="38">
        <f>IF(G13&gt;=$C$4,INDEX('таблица Б'!$B$3:$T$22,H13,COUNT($G$7:$G$26)-1),0)</f>
        <v>34</v>
      </c>
      <c r="J13" s="134">
        <v>5</v>
      </c>
      <c r="K13" s="133">
        <v>7</v>
      </c>
      <c r="L13" s="38">
        <f>IF(J13&gt;=$C$4,INDEX('таблица Б'!$B$3:$T$22,K13,COUNT($J$7:$J$26)-1),0)</f>
        <v>25</v>
      </c>
      <c r="M13" s="134">
        <v>5</v>
      </c>
      <c r="N13" s="133">
        <v>6</v>
      </c>
      <c r="O13" s="38">
        <f>IF(M13&gt;=$C$4,INDEX('таблица Б'!$B$3:$T$22,N13,COUNT($M$7:$M$26)-1),0)</f>
        <v>25</v>
      </c>
      <c r="P13" s="32">
        <f>IF(N13=0,"",LARGE((I13,L13,O13),1)+LARGE((I13,L13,O13),2))</f>
        <v>59</v>
      </c>
      <c r="Q13" s="109">
        <f t="shared" si="0"/>
        <v>7</v>
      </c>
      <c r="S13" t="str">
        <f>IF(AND($E$17&gt;0,$H$7=0),"5-й ряд","")</f>
        <v/>
      </c>
      <c r="T13" s="31" t="str">
        <f>IF(AND($E$17&gt;0,$H$7=0),INDEX($D$7:$D$26,MATCH(11,$F$7:$F$26,0)),"")</f>
        <v/>
      </c>
      <c r="U13" s="31"/>
      <c r="V13" s="31" t="str">
        <f>IF(AND($E$17&gt;0,$H$7=0),INDEX($D$7:$D$26,MATCH(12,$F$7:$F$26,0)),"")</f>
        <v/>
      </c>
      <c r="W13" s="31"/>
      <c r="X13" s="31" t="str">
        <f>IF(AND($E$17&gt;0,$H$7=0),INDEX($D$7:$D$26,MATCH(13,$F$7:$F$26,0)),"")</f>
        <v/>
      </c>
      <c r="Z13" t="str">
        <f>IF($K$17&gt;0,"5-й ряд","")</f>
        <v/>
      </c>
      <c r="AA13" s="31" t="str">
        <f>IF($K$17&gt;0,INDEX($D$7:$D$26,MATCH(11,$K$7:$K$26,0)),"")</f>
        <v/>
      </c>
      <c r="AB13" s="31"/>
      <c r="AC13" s="31" t="str">
        <f>IF($K$17&gt;0,INDEX($D$7:$D$26,MATCH(12,$K$7:$K$26,0)),"")</f>
        <v/>
      </c>
      <c r="AD13" s="31"/>
      <c r="AE13" s="31" t="str">
        <f>IF($K$17&gt;0,INDEX($D$7:$D$26,MATCH(13,$K$7:$K$26,0)),"")</f>
        <v/>
      </c>
    </row>
    <row r="14" spans="1:31" x14ac:dyDescent="0.2">
      <c r="A14" s="39">
        <v>8</v>
      </c>
      <c r="B14" s="166" t="str">
        <f>IF('протокол регистрации'!B12&gt;0,'протокол регистрации'!B12,"")</f>
        <v>Андрей</v>
      </c>
      <c r="C14" s="165" t="str">
        <f>IF('протокол регистрации'!C12&gt;0,'протокол регистрации'!C12,"")</f>
        <v>Пугачев</v>
      </c>
      <c r="D14" s="33">
        <f>IF('протокол регистрации'!D12&gt;0,'протокол регистрации'!D12,"")</f>
        <v>73</v>
      </c>
      <c r="E14" s="130">
        <v>9.8738425925925925E-4</v>
      </c>
      <c r="F14" s="168">
        <f t="shared" si="1"/>
        <v>6</v>
      </c>
      <c r="G14" s="131">
        <v>5</v>
      </c>
      <c r="H14" s="132">
        <v>5</v>
      </c>
      <c r="I14" s="38">
        <f>IF(G14&gt;=$C$4,INDEX('таблица Б'!$B$3:$T$22,H14,COUNT($G$7:$G$26)-1),0)</f>
        <v>43</v>
      </c>
      <c r="J14" s="134">
        <v>5</v>
      </c>
      <c r="K14" s="132">
        <v>5</v>
      </c>
      <c r="L14" s="38">
        <f>IF(J14&gt;=$C$4,INDEX('таблица Б'!$B$3:$T$22,K14,COUNT($J$7:$J$26)-1),0)</f>
        <v>43</v>
      </c>
      <c r="M14" s="134">
        <v>0</v>
      </c>
      <c r="N14" s="132">
        <v>0</v>
      </c>
      <c r="O14" s="38">
        <f>IF(M14&gt;=$C$4,INDEX('таблица Б'!$B$3:$T$22,N14,COUNT($M$7:$M$26)-1),0)</f>
        <v>0</v>
      </c>
      <c r="P14" s="32">
        <v>86</v>
      </c>
      <c r="Q14" s="109">
        <v>5</v>
      </c>
      <c r="T14" s="1"/>
      <c r="U14" s="1"/>
      <c r="V14" s="1"/>
      <c r="W14" s="1"/>
      <c r="X14" s="1"/>
      <c r="AA14" s="1"/>
      <c r="AB14" s="1"/>
      <c r="AC14" s="1"/>
      <c r="AD14" s="1"/>
      <c r="AE14" s="1"/>
    </row>
    <row r="15" spans="1:31" x14ac:dyDescent="0.2">
      <c r="A15" s="40">
        <v>9</v>
      </c>
      <c r="B15" s="166" t="str">
        <f>IF('протокол регистрации'!B13&gt;0,'протокол регистрации'!B13,"")</f>
        <v>Алексей</v>
      </c>
      <c r="C15" s="165" t="str">
        <f>IF('протокол регистрации'!C13&gt;0,'протокол регистрации'!C13,"")</f>
        <v>Саенков</v>
      </c>
      <c r="D15" s="33">
        <f>IF('протокол регистрации'!D13&gt;0,'протокол регистрации'!D13,"")</f>
        <v>77</v>
      </c>
      <c r="E15" s="130" t="s">
        <v>132</v>
      </c>
      <c r="F15" s="168">
        <v>10</v>
      </c>
      <c r="G15" s="131">
        <v>5</v>
      </c>
      <c r="H15" s="132">
        <v>3</v>
      </c>
      <c r="I15" s="38">
        <f>IF(G15&gt;=$C$4,INDEX('таблица Б'!$B$3:$T$22,H15,COUNT($G$7:$G$26)-1),0)</f>
        <v>66</v>
      </c>
      <c r="J15" s="134">
        <v>5</v>
      </c>
      <c r="K15" s="133">
        <v>4</v>
      </c>
      <c r="L15" s="38">
        <f>IF(J15&gt;=$C$4,INDEX('таблица Б'!$B$3:$T$22,K15,COUNT($J$7:$J$26)-1),0)</f>
        <v>54</v>
      </c>
      <c r="M15" s="134">
        <v>5</v>
      </c>
      <c r="N15" s="132">
        <v>4</v>
      </c>
      <c r="O15" s="38">
        <f>IF(M15&gt;=$C$4,INDEX('таблица Б'!$B$3:$T$22,N15,COUNT($M$7:$M$26)-1),0)</f>
        <v>46</v>
      </c>
      <c r="P15" s="32">
        <f>IF(N15=0,"",LARGE((I15,L15,O15),1)+LARGE((I15,L15,O15),2))</f>
        <v>120</v>
      </c>
      <c r="Q15" s="109">
        <f t="shared" si="0"/>
        <v>4</v>
      </c>
      <c r="S15" t="str">
        <f>IF(AND($E$20&gt;0,$H$7=0),"6-й ряд","")</f>
        <v/>
      </c>
      <c r="T15" s="1"/>
      <c r="U15" s="31" t="str">
        <f>IF(AND($E$20&gt;0,$H$7=0),INDEX($D$7:$D$26,MATCH(14,$F$7:$F$26,0)),"")</f>
        <v/>
      </c>
      <c r="V15" s="31"/>
      <c r="W15" s="31" t="str">
        <f>IF(AND($E$20&gt;0,$H$7=0),INDEX($D$7:$D$26,MATCH(15,$F$7:$F$26,0)),"")</f>
        <v/>
      </c>
      <c r="X15" s="1"/>
      <c r="Z15" t="str">
        <f>IF($K$20&gt;0,"6-й ряд","")</f>
        <v/>
      </c>
      <c r="AA15" s="1"/>
      <c r="AB15" s="31" t="str">
        <f>IF($K$20&gt;0,INDEX($D$7:$D$26,MATCH(14,$K$7:$K$26,0)),"")</f>
        <v/>
      </c>
      <c r="AC15" s="31"/>
      <c r="AD15" s="31" t="str">
        <f>IF($K$20&gt;0,INDEX($D$7:$D$26,MATCH(15,$K$7:$K$26,0)),"")</f>
        <v/>
      </c>
      <c r="AE15" s="1"/>
    </row>
    <row r="16" spans="1:31" x14ac:dyDescent="0.2">
      <c r="A16" s="39">
        <v>10</v>
      </c>
      <c r="B16" s="166" t="str">
        <f>IF('протокол регистрации'!B14&gt;0,'протокол регистрации'!B14,"")</f>
        <v>Георгий</v>
      </c>
      <c r="C16" s="165" t="str">
        <f>IF('протокол регистрации'!C14&gt;0,'протокол регистрации'!C14,"")</f>
        <v>Шмидт</v>
      </c>
      <c r="D16" s="33">
        <f>IF('протокол регистрации'!D14&gt;0,'протокол регистрации'!D14,"")</f>
        <v>88</v>
      </c>
      <c r="E16" s="130">
        <v>1.0677083333333335E-3</v>
      </c>
      <c r="F16" s="168">
        <f t="shared" si="1"/>
        <v>9</v>
      </c>
      <c r="G16" s="131">
        <v>5</v>
      </c>
      <c r="H16" s="132">
        <v>8</v>
      </c>
      <c r="I16" s="38">
        <f>IF(G16&gt;=$C$4,INDEX('таблица Б'!$B$3:$T$22,H16,COUNT($G$7:$G$26)-1),0)</f>
        <v>16</v>
      </c>
      <c r="J16" s="134">
        <v>5</v>
      </c>
      <c r="K16" s="133">
        <v>9</v>
      </c>
      <c r="L16" s="38">
        <f>IF(J16&gt;=$C$4,INDEX('таблица Б'!$B$3:$T$22,K16,COUNT($J$7:$J$26)-1),0)</f>
        <v>8</v>
      </c>
      <c r="M16" s="134">
        <v>5</v>
      </c>
      <c r="N16" s="132">
        <v>8</v>
      </c>
      <c r="O16" s="38">
        <f>IF(M16&gt;=$C$4,INDEX('таблица Б'!$B$3:$T$22,N16,COUNT($M$7:$M$26)-1),0)</f>
        <v>9</v>
      </c>
      <c r="P16" s="32">
        <f>IF(N16=0,"",LARGE((I16,L16,O16),1)+LARGE((I16,L16,O16),2))</f>
        <v>25</v>
      </c>
      <c r="Q16" s="109">
        <f t="shared" si="0"/>
        <v>9</v>
      </c>
    </row>
    <row r="17" spans="1:31" x14ac:dyDescent="0.2">
      <c r="A17" s="39">
        <v>11</v>
      </c>
      <c r="B17" s="33" t="str">
        <f>IF('протокол регистрации'!B15&gt;0,'протокол регистрации'!B15,"")</f>
        <v/>
      </c>
      <c r="C17" s="33" t="str">
        <f>IF('протокол регистрации'!C15&gt;0,'протокол регистрации'!C15,"")</f>
        <v/>
      </c>
      <c r="D17" s="33" t="str">
        <f>IF('протокол регистрации'!D15&gt;0,'протокол регистрации'!D15,"")</f>
        <v/>
      </c>
      <c r="E17" s="130"/>
      <c r="F17" s="32" t="str">
        <f t="shared" ref="F12:F26" si="2">IF(E17&gt;0,RANK(E17,$E$7:$E$26,1),"")</f>
        <v/>
      </c>
      <c r="G17" s="131"/>
      <c r="H17" s="133"/>
      <c r="I17" s="38"/>
      <c r="J17" s="134"/>
      <c r="K17" s="132"/>
      <c r="L17" s="38" t="str">
        <f>IF(J17&gt;=$C$4,INDEX('таблица Б'!$B$3:$T$22,K17,COUNT($J$7:$J$26)-1),"")</f>
        <v/>
      </c>
      <c r="M17" s="134"/>
      <c r="N17" s="132"/>
      <c r="O17" s="38"/>
      <c r="P17" s="32" t="str">
        <f>IF(N17=0,"",LARGE((I17,L17,O17),1)+LARGE((I17,L17,O17),2))</f>
        <v/>
      </c>
      <c r="Q17" s="109" t="str">
        <f t="shared" si="0"/>
        <v/>
      </c>
      <c r="S17" t="str">
        <f>IF(AND($E$22&gt;0,$H$7=0),"7-й ряд","")</f>
        <v/>
      </c>
      <c r="T17" s="31" t="str">
        <f>IF(AND($E$22&gt;0,$H$7=0),INDEX($D$7:$D$26,MATCH(16,$F$7:$F$26,0)),"")</f>
        <v/>
      </c>
      <c r="U17" s="31"/>
      <c r="V17" s="31" t="str">
        <f>IF(AND($E$22&gt;0,$H$7=0),INDEX($D$7:$D$26,MATCH(17,$F$7:$F$26,0)),"")</f>
        <v/>
      </c>
      <c r="W17" s="31"/>
      <c r="X17" s="31" t="str">
        <f>IF(AND($E$22&gt;0,$H$7=0),INDEX($D$7:$D$26,MATCH(18,$F$7:$F$26,0)),"")</f>
        <v/>
      </c>
      <c r="Z17" t="str">
        <f>IF($K$22&gt;0,"7-й ряд","")</f>
        <v/>
      </c>
      <c r="AA17" s="31" t="str">
        <f>IF($K$22&gt;0,INDEX($D$7:$D$26,MATCH(16,$K$7:$K$26,0)),"")</f>
        <v/>
      </c>
      <c r="AB17" s="31"/>
      <c r="AC17" s="31" t="str">
        <f>IF($K$22&gt;0,INDEX($D$7:$D$26,MATCH(17,$K$7:$K$26,0)),"")</f>
        <v/>
      </c>
      <c r="AD17" s="31"/>
      <c r="AE17" s="31" t="str">
        <f>IF($K$22&gt;0,INDEX($D$7:$D$26,MATCH(18,$K$7:$K$26,0)),"")</f>
        <v/>
      </c>
    </row>
    <row r="18" spans="1:31" x14ac:dyDescent="0.2">
      <c r="A18" s="39">
        <v>12</v>
      </c>
      <c r="B18" s="33" t="str">
        <f>IF('протокол регистрации'!B16&gt;0,'протокол регистрации'!B16,"")</f>
        <v/>
      </c>
      <c r="C18" s="33" t="str">
        <f>IF('протокол регистрации'!C16&gt;0,'протокол регистрации'!C16,"")</f>
        <v/>
      </c>
      <c r="D18" s="33" t="str">
        <f>IF('протокол регистрации'!D16&gt;0,'протокол регистрации'!D16,"")</f>
        <v/>
      </c>
      <c r="E18" s="130"/>
      <c r="F18" s="32" t="str">
        <f t="shared" si="2"/>
        <v/>
      </c>
      <c r="G18" s="131"/>
      <c r="H18" s="133"/>
      <c r="I18" s="38"/>
      <c r="J18" s="134"/>
      <c r="K18" s="132"/>
      <c r="L18" s="38" t="str">
        <f>IF(J18&gt;=$C$4,INDEX('таблица Б'!$B$3:$T$22,K18,COUNT($J$7:$J$26)-1),"")</f>
        <v/>
      </c>
      <c r="M18" s="134"/>
      <c r="N18" s="132"/>
      <c r="O18" s="38"/>
      <c r="P18" s="32" t="str">
        <f>IF(N18=0,"",LARGE((I18,L18,O18),1)+LARGE((I18,L18,O18),2))</f>
        <v/>
      </c>
      <c r="Q18" s="109" t="str">
        <f t="shared" si="0"/>
        <v/>
      </c>
      <c r="T18" s="30"/>
      <c r="U18" s="1"/>
      <c r="V18" s="1"/>
      <c r="W18" s="1"/>
      <c r="X18" s="1"/>
      <c r="AA18" s="30"/>
      <c r="AB18" s="1"/>
      <c r="AC18" s="1"/>
      <c r="AD18" s="1"/>
      <c r="AE18" s="1"/>
    </row>
    <row r="19" spans="1:31" x14ac:dyDescent="0.2">
      <c r="A19" s="39">
        <v>13</v>
      </c>
      <c r="B19" s="33" t="str">
        <f>IF('протокол регистрации'!B17&gt;0,'протокол регистрации'!B17,"")</f>
        <v/>
      </c>
      <c r="C19" s="33" t="str">
        <f>IF('протокол регистрации'!C17&gt;0,'протокол регистрации'!C17,"")</f>
        <v/>
      </c>
      <c r="D19" s="33" t="str">
        <f>IF('протокол регистрации'!D17&gt;0,'протокол регистрации'!D17,"")</f>
        <v/>
      </c>
      <c r="E19" s="130"/>
      <c r="F19" s="32" t="s">
        <v>129</v>
      </c>
      <c r="G19" s="131"/>
      <c r="H19" s="132"/>
      <c r="I19" s="38"/>
      <c r="J19" s="134"/>
      <c r="K19" s="132"/>
      <c r="L19" s="38" t="str">
        <f>IF(J19&gt;=$C$4,INDEX('таблица Б'!$B$3:$T$22,K19,COUNT($J$7:$J$26)-1),"")</f>
        <v/>
      </c>
      <c r="M19" s="134"/>
      <c r="N19" s="132"/>
      <c r="O19" s="38"/>
      <c r="P19" s="32" t="str">
        <f>IF(N19=0,"",LARGE((I19,L19,O19),1)+LARGE((I19,L19,O19),2))</f>
        <v/>
      </c>
      <c r="Q19" s="109" t="str">
        <f t="shared" si="0"/>
        <v/>
      </c>
      <c r="S19" t="str">
        <f>IF(AND($E$25&gt;0,$H$7=0),"8-й ряд","")</f>
        <v/>
      </c>
      <c r="T19" s="1"/>
      <c r="U19" s="31" t="str">
        <f>IF(AND($E$25&gt;0,$H$7=0),INDEX($D$7:$D$26,MATCH(19,$F$7:$F$26,0)),"")</f>
        <v/>
      </c>
      <c r="V19" s="31"/>
      <c r="W19" s="31" t="str">
        <f>IF(AND($E$25&gt;0,$H$7=0),INDEX($D$7:$D$26,MATCH(20,$F$7:$F$26,0)),"")</f>
        <v/>
      </c>
      <c r="X19" s="1"/>
      <c r="Z19" t="str">
        <f>IF($K$25&gt;0,"8-й ряд","")</f>
        <v/>
      </c>
      <c r="AA19" s="1"/>
      <c r="AB19" s="31" t="str">
        <f>IF($K$25&gt;0,INDEX($D$7:$D$26,MATCH(19,$K$7:$K$26,0)),"")</f>
        <v/>
      </c>
      <c r="AC19" s="31"/>
      <c r="AD19" s="31" t="str">
        <f>IF($K$25&gt;0,INDEX($D$7:$D$26,MATCH(20,$K$7:$K$26,0)),"")</f>
        <v/>
      </c>
      <c r="AE19" s="1"/>
    </row>
    <row r="20" spans="1:31" x14ac:dyDescent="0.2">
      <c r="A20" s="39">
        <v>14</v>
      </c>
      <c r="B20" s="33" t="str">
        <f>IF('протокол регистрации'!B18&gt;0,'протокол регистрации'!B18,"")</f>
        <v/>
      </c>
      <c r="C20" s="33" t="str">
        <f>IF('протокол регистрации'!C18&gt;0,'протокол регистрации'!C18,"")</f>
        <v/>
      </c>
      <c r="D20" s="33" t="str">
        <f>IF('протокол регистрации'!D18&gt;0,'протокол регистрации'!D18,"")</f>
        <v/>
      </c>
      <c r="E20" s="130"/>
      <c r="F20" s="32" t="str">
        <f t="shared" si="2"/>
        <v/>
      </c>
      <c r="G20" s="131"/>
      <c r="H20" s="132"/>
      <c r="I20" s="38"/>
      <c r="J20" s="134"/>
      <c r="K20" s="132"/>
      <c r="L20" s="38" t="str">
        <f>IF(J20&gt;=$C$4,INDEX('таблица Б'!$B$3:$T$22,K20,COUNT($J$7:$J$26)-1),"")</f>
        <v/>
      </c>
      <c r="M20" s="134"/>
      <c r="N20" s="132"/>
      <c r="O20" s="38"/>
      <c r="P20" s="32" t="str">
        <f>IF(N20=0,"",LARGE((I20,L20,O20),1)+LARGE((I20,L20,O20),2))</f>
        <v/>
      </c>
      <c r="Q20" s="109" t="str">
        <f t="shared" si="0"/>
        <v/>
      </c>
      <c r="T20" s="25"/>
      <c r="U20" s="1"/>
      <c r="V20" s="25"/>
      <c r="W20" s="1"/>
      <c r="X20" s="25"/>
    </row>
    <row r="21" spans="1:31" x14ac:dyDescent="0.2">
      <c r="A21" s="39">
        <v>15</v>
      </c>
      <c r="B21" s="33" t="str">
        <f>IF('протокол регистрации'!B19&gt;0,'протокол регистрации'!B19,"")</f>
        <v/>
      </c>
      <c r="C21" s="33" t="str">
        <f>IF('протокол регистрации'!C19&gt;0,'протокол регистрации'!C19,"")</f>
        <v/>
      </c>
      <c r="D21" s="33" t="str">
        <f>IF('протокол регистрации'!D19&gt;0,'протокол регистрации'!D19,"")</f>
        <v/>
      </c>
      <c r="E21" s="130"/>
      <c r="F21" s="32" t="str">
        <f t="shared" si="2"/>
        <v/>
      </c>
      <c r="G21" s="131"/>
      <c r="H21" s="132"/>
      <c r="I21" s="38"/>
      <c r="J21" s="134"/>
      <c r="K21" s="132"/>
      <c r="L21" s="38" t="str">
        <f>IF(J21&gt;=$C$4,INDEX('таблица Б'!$B$3:$T$22,K21,COUNT($J$7:$J$26)-1),"")</f>
        <v/>
      </c>
      <c r="M21" s="134"/>
      <c r="N21" s="132"/>
      <c r="O21" s="38"/>
      <c r="P21" s="32" t="str">
        <f>IF(N21=0,"",LARGE((I21,L21,O21),1)+LARGE((I21,L21,O21),2))</f>
        <v/>
      </c>
      <c r="Q21" s="109" t="str">
        <f t="shared" si="0"/>
        <v/>
      </c>
      <c r="T21" s="185" t="str">
        <f>IF(AND($H$7&gt;0,$K$7=0),"решётка 2-го заезда","")</f>
        <v/>
      </c>
      <c r="U21" s="186"/>
      <c r="V21" s="186"/>
      <c r="W21" s="186"/>
      <c r="X21" s="186"/>
    </row>
    <row r="22" spans="1:31" x14ac:dyDescent="0.2">
      <c r="A22" s="39">
        <v>16</v>
      </c>
      <c r="B22" s="33" t="str">
        <f>IF('протокол регистрации'!B20&gt;0,'протокол регистрации'!B20,"")</f>
        <v/>
      </c>
      <c r="C22" s="33" t="str">
        <f>IF('протокол регистрации'!C20&gt;0,'протокол регистрации'!C20,"")</f>
        <v/>
      </c>
      <c r="D22" s="33" t="str">
        <f>IF('протокол регистрации'!D20&gt;0,'протокол регистрации'!D20,"")</f>
        <v/>
      </c>
      <c r="E22" s="130"/>
      <c r="F22" s="32" t="str">
        <f t="shared" si="2"/>
        <v/>
      </c>
      <c r="G22" s="131"/>
      <c r="H22" s="132"/>
      <c r="I22" s="38"/>
      <c r="J22" s="134"/>
      <c r="K22" s="132"/>
      <c r="L22" s="38" t="str">
        <f>IF(J22&gt;=$C$4,INDEX('таблица Б'!$B$3:$T$22,K22,COUNT($J$7:$J$26)-1),"")</f>
        <v/>
      </c>
      <c r="M22" s="134"/>
      <c r="N22" s="132"/>
      <c r="O22" s="38"/>
      <c r="P22" s="32" t="str">
        <f>IF(N22=0,"",LARGE((I22,L22,O22),1)+LARGE((I22,L22,O22),2))</f>
        <v/>
      </c>
      <c r="Q22" s="109" t="str">
        <f t="shared" si="0"/>
        <v/>
      </c>
    </row>
    <row r="23" spans="1:31" x14ac:dyDescent="0.2">
      <c r="A23" s="39">
        <v>17</v>
      </c>
      <c r="B23" s="33" t="str">
        <f>IF('протокол регистрации'!B21&gt;0,'протокол регистрации'!B21,"")</f>
        <v/>
      </c>
      <c r="C23" s="33" t="str">
        <f>IF('протокол регистрации'!C21&gt;0,'протокол регистрации'!C21,"")</f>
        <v/>
      </c>
      <c r="D23" s="33" t="str">
        <f>IF('протокол регистрации'!D21&gt;0,'протокол регистрации'!D21,"")</f>
        <v/>
      </c>
      <c r="E23" s="130"/>
      <c r="F23" s="32" t="str">
        <f t="shared" si="2"/>
        <v/>
      </c>
      <c r="G23" s="131"/>
      <c r="H23" s="132"/>
      <c r="I23" s="38"/>
      <c r="J23" s="134"/>
      <c r="K23" s="132"/>
      <c r="L23" s="38" t="str">
        <f>IF(J23&gt;=$C$4,INDEX('таблица Б'!$B$3:$T$22,K23,COUNT($J$7:$J$26)-1),"")</f>
        <v/>
      </c>
      <c r="M23" s="134"/>
      <c r="N23" s="132"/>
      <c r="O23" s="38"/>
      <c r="P23" s="32" t="str">
        <f>IF(N23=0,"",LARGE((I23,L23,O23),1)+LARGE((I23,L23,O23),2))</f>
        <v/>
      </c>
      <c r="Q23" s="109" t="str">
        <f t="shared" si="0"/>
        <v/>
      </c>
      <c r="S23" t="str">
        <f>IF(AND($H$7&gt;0,$K$7=0),"1-й ряд","")</f>
        <v/>
      </c>
      <c r="T23" s="31" t="str">
        <f>IF(AND($H$7&gt;0,$K$7=0),INDEX($D$7:$D$26,MATCH(1,$H$7:$H$26,0)),"")</f>
        <v/>
      </c>
      <c r="U23" s="31"/>
      <c r="V23" s="31" t="str">
        <f>IF(AND($H$7&gt;0,$K$7=0),INDEX($D$7:$D$26,MATCH(2,$H$7:$H$26,0)),"")</f>
        <v/>
      </c>
      <c r="W23" s="31"/>
      <c r="X23" s="31" t="str">
        <f>IF(AND($H$7&gt;0,$K$7=0),INDEX($D$7:$D$26,MATCH(3,$H$7:$H$26,0)),"")</f>
        <v/>
      </c>
    </row>
    <row r="24" spans="1:31" x14ac:dyDescent="0.2">
      <c r="A24" s="39">
        <v>18</v>
      </c>
      <c r="B24" s="33" t="str">
        <f>IF('протокол регистрации'!B22&gt;0,'протокол регистрации'!B22,"")</f>
        <v/>
      </c>
      <c r="C24" s="33" t="str">
        <f>IF('протокол регистрации'!C22&gt;0,'протокол регистрации'!C22,"")</f>
        <v/>
      </c>
      <c r="D24" s="33" t="str">
        <f>IF('протокол регистрации'!D22&gt;0,'протокол регистрации'!D22,"")</f>
        <v/>
      </c>
      <c r="E24" s="130"/>
      <c r="F24" s="32" t="str">
        <f t="shared" si="2"/>
        <v/>
      </c>
      <c r="G24" s="131"/>
      <c r="H24" s="132"/>
      <c r="I24" s="38"/>
      <c r="J24" s="134"/>
      <c r="K24" s="132"/>
      <c r="L24" s="38" t="str">
        <f>IF(J24&gt;=$C$4,INDEX('таблица Б'!$B$3:$T$22,K24,COUNT($J$7:$J$26)-1),"")</f>
        <v/>
      </c>
      <c r="M24" s="134"/>
      <c r="N24" s="132"/>
      <c r="O24" s="38"/>
      <c r="P24" s="32" t="str">
        <f>IF(N24=0,"",LARGE((I24,L24,O24),1)+LARGE((I24,L24,O24),2))</f>
        <v/>
      </c>
      <c r="Q24" s="109" t="str">
        <f t="shared" si="0"/>
        <v/>
      </c>
      <c r="T24" s="31"/>
      <c r="U24" s="1"/>
      <c r="V24" s="1"/>
      <c r="W24" s="1"/>
      <c r="X24" s="1"/>
    </row>
    <row r="25" spans="1:31" x14ac:dyDescent="0.2">
      <c r="A25" s="39">
        <v>19</v>
      </c>
      <c r="B25" s="33" t="str">
        <f>IF('протокол регистрации'!B23&gt;0,'протокол регистрации'!B23,"")</f>
        <v/>
      </c>
      <c r="C25" s="33" t="str">
        <f>IF('протокол регистрации'!C23&gt;0,'протокол регистрации'!C23,"")</f>
        <v/>
      </c>
      <c r="D25" s="33" t="str">
        <f>IF('протокол регистрации'!D23&gt;0,'протокол регистрации'!D23,"")</f>
        <v/>
      </c>
      <c r="E25" s="130"/>
      <c r="F25" s="32" t="str">
        <f t="shared" si="2"/>
        <v/>
      </c>
      <c r="G25" s="131"/>
      <c r="H25" s="132"/>
      <c r="I25" s="38"/>
      <c r="J25" s="134"/>
      <c r="K25" s="132"/>
      <c r="L25" s="38" t="str">
        <f>IF(J25&gt;=$C$4,INDEX('таблица Б'!$B$3:$T$22,K25,COUNT($J$7:$J$26)-1),"")</f>
        <v/>
      </c>
      <c r="M25" s="134"/>
      <c r="N25" s="132"/>
      <c r="O25" s="38"/>
      <c r="P25" s="32" t="str">
        <f>IF(N25=0,"",LARGE((I25,L25,O25),1)+LARGE((I25,L25,O25),2))</f>
        <v/>
      </c>
      <c r="Q25" s="109" t="str">
        <f t="shared" si="0"/>
        <v/>
      </c>
      <c r="S25" t="str">
        <f>IF(AND($H$10&gt;0,$K$7=0),"2-й ряд","")</f>
        <v/>
      </c>
      <c r="T25" s="1"/>
      <c r="U25" s="31" t="str">
        <f>IF(AND($H$10&gt;0,$K$7=0),INDEX($D$7:$D$26,MATCH(4,$H$7:$H$26,0)),"")</f>
        <v/>
      </c>
      <c r="V25" s="1"/>
      <c r="W25" s="31" t="str">
        <f>IF(AND($H$10&gt;0,$K$7=0),INDEX($D$7:$D$26,MATCH(5,$H$7:$H$26,0)),"")</f>
        <v/>
      </c>
      <c r="X25" s="1"/>
    </row>
    <row r="26" spans="1:31" x14ac:dyDescent="0.2">
      <c r="A26" s="39">
        <v>20</v>
      </c>
      <c r="B26" s="33" t="str">
        <f>IF('протокол регистрации'!B24&gt;0,'протокол регистрации'!B24,"")</f>
        <v/>
      </c>
      <c r="C26" s="33" t="str">
        <f>IF('протокол регистрации'!C24&gt;0,'протокол регистрации'!C24,"")</f>
        <v/>
      </c>
      <c r="D26" s="33" t="str">
        <f>IF('протокол регистрации'!D24&gt;0,'протокол регистрации'!D24,"")</f>
        <v/>
      </c>
      <c r="E26" s="130"/>
      <c r="F26" s="32" t="str">
        <f t="shared" si="2"/>
        <v/>
      </c>
      <c r="G26" s="131"/>
      <c r="H26" s="132"/>
      <c r="I26" s="38"/>
      <c r="J26" s="134"/>
      <c r="K26" s="132"/>
      <c r="L26" s="38" t="str">
        <f>IF(J26&gt;=$C$4,INDEX('таблица Б'!$B$3:$T$22,K26,COUNT($J$7:$J$26)-1),"")</f>
        <v/>
      </c>
      <c r="M26" s="134"/>
      <c r="N26" s="132"/>
      <c r="O26" s="38"/>
      <c r="P26" s="32" t="str">
        <f>IF(N26=0,"",LARGE((I26,L26,O26),1)+LARGE((I26,L26,O26),2))</f>
        <v/>
      </c>
      <c r="Q26" s="109" t="str">
        <f t="shared" si="0"/>
        <v/>
      </c>
      <c r="T26" s="1"/>
      <c r="U26" s="1"/>
      <c r="V26" s="1"/>
      <c r="W26" s="1"/>
      <c r="X26" s="1"/>
    </row>
    <row r="27" spans="1:31" x14ac:dyDescent="0.2">
      <c r="P27" s="26"/>
      <c r="S27" t="str">
        <f>IF(AND($H$12&gt;0,$K$7=0),"3-й ряд","")</f>
        <v/>
      </c>
      <c r="T27" s="31" t="str">
        <f>IF(AND($H$12&gt;0,$K$7=0),INDEX($D$7:$D$26,MATCH(6,$H$7:$H$26,0)),"")</f>
        <v/>
      </c>
      <c r="U27" s="31"/>
      <c r="V27" s="31" t="str">
        <f>IF(AND($H$12&gt;0,$K$7=0),INDEX($D$7:$D$26,MATCH(7,$H$7:$H$26,0)),"")</f>
        <v/>
      </c>
      <c r="W27" s="31"/>
      <c r="X27" s="31" t="str">
        <f>IF(AND($H$12&gt;0,$K$7=0),INDEX($D$7:$D$26,MATCH(8,$H$7:$H$26,0)),"")</f>
        <v/>
      </c>
    </row>
    <row r="28" spans="1:31" x14ac:dyDescent="0.2">
      <c r="B28" t="s">
        <v>130</v>
      </c>
      <c r="T28" s="1"/>
      <c r="U28" s="1"/>
      <c r="V28" s="1"/>
      <c r="W28" s="1"/>
      <c r="X28" s="1"/>
    </row>
    <row r="29" spans="1:31" x14ac:dyDescent="0.2">
      <c r="B29" t="s">
        <v>131</v>
      </c>
      <c r="S29" t="str">
        <f>IF(AND($H$15&gt;0,$K$7=0),"4-й ряд","")</f>
        <v/>
      </c>
      <c r="T29" s="1"/>
      <c r="U29" s="31" t="str">
        <f>IF(AND($H$15&gt;0,$K$7=0),INDEX($D$7:$D$26,MATCH(9,$H$7:$H$26,0)),"")</f>
        <v/>
      </c>
      <c r="V29" s="31"/>
      <c r="W29" s="31" t="str">
        <f>IF(AND($H$15&gt;0,$K$7=0),INDEX($D$7:$D$26,MATCH(10,$H$7:$H$26,0)),"")</f>
        <v/>
      </c>
      <c r="X29" s="1"/>
    </row>
    <row r="30" spans="1:31" x14ac:dyDescent="0.2">
      <c r="F30" s="231"/>
      <c r="T30" s="1"/>
      <c r="U30" s="1"/>
      <c r="V30" s="1"/>
      <c r="W30" s="1"/>
      <c r="X30" s="1"/>
    </row>
    <row r="31" spans="1:31" x14ac:dyDescent="0.2">
      <c r="S31" t="str">
        <f>IF(AND($H$17&gt;0,$K$7=0),"5-й ряд","")</f>
        <v/>
      </c>
      <c r="T31" s="31" t="str">
        <f>IF(AND($H$17&gt;0,$K$7=0),INDEX($D$7:$D$26,MATCH(11,$H$7:$H$26,0)),"")</f>
        <v/>
      </c>
      <c r="U31" s="31"/>
      <c r="V31" s="31" t="str">
        <f>IF(AND($H$17&gt;0,$K$7=0),INDEX($D$7:$D$26,MATCH(12,$H$7:$H$26,0)),"")</f>
        <v/>
      </c>
      <c r="W31" s="31"/>
      <c r="X31" s="31" t="str">
        <f>IF(AND($H$17&gt;0,$K$7=0),INDEX($D$7:$D$26,MATCH(13,$H$7:$H$26,0)),"")</f>
        <v/>
      </c>
    </row>
    <row r="32" spans="1:31" x14ac:dyDescent="0.2">
      <c r="T32" s="1"/>
      <c r="U32" s="1"/>
      <c r="V32" s="1"/>
      <c r="W32" s="1"/>
      <c r="X32" s="1"/>
    </row>
    <row r="33" spans="19:24" x14ac:dyDescent="0.2">
      <c r="S33" t="str">
        <f>IF(AND($H$20&gt;0,$K$7=0),"6-й ряд","")</f>
        <v/>
      </c>
      <c r="T33" s="1"/>
      <c r="U33" s="31" t="str">
        <f>IF(AND($H$20&gt;0,$K$7=0),INDEX($D$7:$D$26,MATCH(14,$H$7:$H$26,0)),"")</f>
        <v/>
      </c>
      <c r="V33" s="31"/>
      <c r="W33" s="31" t="str">
        <f>IF(AND($H$20&gt;0,$K$7=0),INDEX($D$7:$D$26,MATCH(15,$H$7:$H$26,0)),"")</f>
        <v/>
      </c>
      <c r="X33" s="1"/>
    </row>
    <row r="35" spans="19:24" x14ac:dyDescent="0.2">
      <c r="S35" t="str">
        <f>IF(AND($H$22&gt;0,$K$7=0),"7-й ряд","")</f>
        <v/>
      </c>
      <c r="T35" s="31" t="str">
        <f>IF(AND($H$22&gt;0,$K$7=0),INDEX($D$7:$D$26,MATCH(16,$H$7:$H$26,0)),"")</f>
        <v/>
      </c>
      <c r="U35" s="31"/>
      <c r="V35" s="31" t="str">
        <f>IF(AND($H$22&gt;0,$K$7=0),INDEX($D$7:$D$26,MATCH(17,$H$7:$H$26,0)),"")</f>
        <v/>
      </c>
      <c r="W35" s="31"/>
      <c r="X35" s="31" t="str">
        <f>IF(AND($H$22&gt;0,$K$7=0),INDEX($D$7:$D$26,MATCH(18,$H$7:$H$26,0)),"")</f>
        <v/>
      </c>
    </row>
    <row r="36" spans="19:24" x14ac:dyDescent="0.2">
      <c r="T36" s="30"/>
      <c r="U36" s="1"/>
      <c r="V36" s="1"/>
      <c r="W36" s="1"/>
      <c r="X36" s="1"/>
    </row>
    <row r="37" spans="19:24" x14ac:dyDescent="0.2">
      <c r="S37" t="str">
        <f>IF(AND($H$25&gt;0,$K$7=0),"8-й ряд","")</f>
        <v/>
      </c>
      <c r="T37" s="1"/>
      <c r="U37" s="31" t="str">
        <f>IF(AND($H$25&gt;0,$K$7=0),INDEX($D$7:$D$26,MATCH(19,$H$7:$H$26,0)),"")</f>
        <v/>
      </c>
      <c r="V37" s="31"/>
      <c r="W37" s="31" t="str">
        <f>IF(AND($H$25&gt;0,$K$7=0),INDEX($D$7:$D$26,MATCH(20,$H$7:$H$26,0)),"")</f>
        <v/>
      </c>
      <c r="X37" s="1"/>
    </row>
  </sheetData>
  <mergeCells count="9">
    <mergeCell ref="M5:O5"/>
    <mergeCell ref="A1:Q1"/>
    <mergeCell ref="T21:X21"/>
    <mergeCell ref="T1:X1"/>
    <mergeCell ref="AA1:AE1"/>
    <mergeCell ref="P5:Q5"/>
    <mergeCell ref="E5:F5"/>
    <mergeCell ref="G5:I5"/>
    <mergeCell ref="J5:L5"/>
  </mergeCells>
  <phoneticPr fontId="0" type="noConversion"/>
  <pageMargins left="0.39370078740157483" right="0.35433070866141736" top="0.98425196850393704" bottom="0.98425196850393704" header="0.51181102362204722" footer="0.51181102362204722"/>
  <pageSetup paperSize="9" orientation="landscape" horizontalDpi="4294967294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E37"/>
  <sheetViews>
    <sheetView tabSelected="1" topLeftCell="A3" zoomScaleNormal="100" workbookViewId="0">
      <selection activeCell="P7" sqref="P7:P12"/>
    </sheetView>
  </sheetViews>
  <sheetFormatPr defaultRowHeight="12.75" x14ac:dyDescent="0.2"/>
  <cols>
    <col min="1" max="1" width="5.5703125" customWidth="1"/>
    <col min="2" max="2" width="13.28515625" customWidth="1"/>
    <col min="3" max="3" width="10.5703125" bestFit="1" customWidth="1"/>
    <col min="4" max="4" width="6.140625" bestFit="1" customWidth="1"/>
    <col min="5" max="5" width="9.28515625" bestFit="1" customWidth="1"/>
    <col min="6" max="6" width="7" customWidth="1"/>
    <col min="7" max="7" width="9" customWidth="1"/>
    <col min="8" max="9" width="6" customWidth="1"/>
    <col min="10" max="10" width="9.42578125" customWidth="1"/>
    <col min="11" max="12" width="6.7109375" customWidth="1"/>
    <col min="13" max="13" width="9.85546875" customWidth="1"/>
    <col min="14" max="14" width="6" customWidth="1"/>
    <col min="15" max="15" width="5" customWidth="1"/>
    <col min="16" max="16" width="10" customWidth="1"/>
    <col min="17" max="17" width="7.85546875" customWidth="1"/>
  </cols>
  <sheetData>
    <row r="1" spans="1:31" x14ac:dyDescent="0.2">
      <c r="A1" s="184" t="str">
        <f>'протокол регистрации'!A1:G1</f>
        <v>Открытое спортивное мероприятие по ледовым гонкам 1 этап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T1" s="185" t="str">
        <f>IF(AND($E$7&gt;0,$H$7=0),"решётка 1-го заезда","")</f>
        <v/>
      </c>
      <c r="U1" s="186"/>
      <c r="V1" s="186"/>
      <c r="W1" s="186"/>
      <c r="X1" s="186"/>
      <c r="AA1" s="185" t="str">
        <f>IF($K$7&gt;0,"решётка 3-го заезда","")</f>
        <v>решётка 3-го заезда</v>
      </c>
      <c r="AB1" s="186"/>
      <c r="AC1" s="186"/>
      <c r="AD1" s="186"/>
      <c r="AE1" s="186"/>
    </row>
    <row r="2" spans="1:31" x14ac:dyDescent="0.2">
      <c r="B2" s="37">
        <v>2000</v>
      </c>
      <c r="C2" s="3"/>
      <c r="D2" s="1"/>
      <c r="F2" t="str">
        <f>'протокол регистрации'!G2</f>
        <v>Полярные Зори</v>
      </c>
      <c r="H2" s="4"/>
      <c r="P2" s="2">
        <f>'протокол регистрации'!H1</f>
        <v>42400</v>
      </c>
    </row>
    <row r="3" spans="1:31" ht="25.5" x14ac:dyDescent="0.2">
      <c r="B3" s="120" t="s">
        <v>116</v>
      </c>
      <c r="C3" s="129">
        <v>5</v>
      </c>
      <c r="D3" s="1"/>
      <c r="H3" s="4"/>
      <c r="P3" s="2"/>
    </row>
    <row r="4" spans="1:31" x14ac:dyDescent="0.2">
      <c r="B4" s="3" t="s">
        <v>117</v>
      </c>
      <c r="C4" s="37">
        <f>C3*0.8</f>
        <v>4</v>
      </c>
      <c r="D4" s="1"/>
      <c r="H4" s="4"/>
      <c r="P4" s="2"/>
    </row>
    <row r="5" spans="1:31" x14ac:dyDescent="0.2">
      <c r="A5" s="32" t="s">
        <v>9</v>
      </c>
      <c r="B5" s="36" t="s">
        <v>1</v>
      </c>
      <c r="C5" s="36" t="s">
        <v>2</v>
      </c>
      <c r="D5" s="36" t="s">
        <v>3</v>
      </c>
      <c r="E5" s="188" t="s">
        <v>10</v>
      </c>
      <c r="F5" s="189"/>
      <c r="G5" s="180" t="s">
        <v>13</v>
      </c>
      <c r="H5" s="181"/>
      <c r="I5" s="182"/>
      <c r="J5" s="180" t="s">
        <v>14</v>
      </c>
      <c r="K5" s="181"/>
      <c r="L5" s="182"/>
      <c r="M5" s="180" t="s">
        <v>15</v>
      </c>
      <c r="N5" s="181"/>
      <c r="O5" s="182"/>
      <c r="P5" s="187" t="s">
        <v>16</v>
      </c>
      <c r="Q5" s="187"/>
      <c r="S5" t="str">
        <f>IF(AND($E$7&gt;0,$H$7=0),"1-й ряд","")</f>
        <v/>
      </c>
      <c r="T5" s="31" t="str">
        <f>IF(AND($E$7&gt;0,$H$7=0),INDEX($D$7:$D$26,MATCH(1,$F$7:$F$26,0)),"")</f>
        <v/>
      </c>
      <c r="U5" s="31"/>
      <c r="V5" s="31" t="str">
        <f>IF(AND($E$7&gt;0,$H$7=0),INDEX($D$7:$D$26,MATCH(2,$F$7:$F$26,0)),"")</f>
        <v/>
      </c>
      <c r="W5" s="31"/>
      <c r="X5" s="31" t="str">
        <f>IF(AND($E$7&gt;0,$H$7=0),INDEX($D$7:$D$26,MATCH(3,$F$7:$F$26,0)),"")</f>
        <v/>
      </c>
      <c r="Z5" t="str">
        <f>IF($K$7&gt;0,"1-й ряд","")</f>
        <v>1-й ряд</v>
      </c>
      <c r="AA5" s="31">
        <f>IF($K$7&gt;0,INDEX($D$7:$D$26,MATCH(1,$K$7:$K$26,0)),"")</f>
        <v>50</v>
      </c>
      <c r="AB5" s="31"/>
      <c r="AC5" s="31">
        <f>IF($K$7&gt;0,INDEX($D$7:$D$26,MATCH(2,$K$7:$K$26,0)),"")</f>
        <v>63</v>
      </c>
      <c r="AD5" s="31"/>
      <c r="AE5" s="31">
        <f>IF($K$7&gt;0,INDEX($D$7:$D$26,MATCH(3,$K$7:$K$26,0)),"")</f>
        <v>7</v>
      </c>
    </row>
    <row r="6" spans="1:31" ht="25.5" x14ac:dyDescent="0.2">
      <c r="A6" s="32"/>
      <c r="B6" s="32"/>
      <c r="C6" s="32"/>
      <c r="D6" s="32"/>
      <c r="E6" s="32" t="s">
        <v>11</v>
      </c>
      <c r="F6" s="32" t="s">
        <v>12</v>
      </c>
      <c r="G6" s="121" t="s">
        <v>118</v>
      </c>
      <c r="H6" s="32" t="s">
        <v>12</v>
      </c>
      <c r="I6" s="32" t="s">
        <v>17</v>
      </c>
      <c r="J6" s="121" t="s">
        <v>118</v>
      </c>
      <c r="K6" s="32" t="s">
        <v>12</v>
      </c>
      <c r="L6" s="32" t="s">
        <v>17</v>
      </c>
      <c r="M6" s="121" t="s">
        <v>118</v>
      </c>
      <c r="N6" s="32" t="s">
        <v>12</v>
      </c>
      <c r="O6" s="32" t="s">
        <v>17</v>
      </c>
      <c r="P6" s="32" t="s">
        <v>17</v>
      </c>
      <c r="Q6" s="32" t="s">
        <v>12</v>
      </c>
      <c r="T6" s="31"/>
      <c r="U6" s="1"/>
      <c r="V6" s="1"/>
      <c r="W6" s="1"/>
      <c r="X6" s="1"/>
      <c r="AA6" s="31"/>
      <c r="AB6" s="1"/>
      <c r="AC6" s="1"/>
      <c r="AD6" s="1"/>
      <c r="AE6" s="1"/>
    </row>
    <row r="7" spans="1:31" x14ac:dyDescent="0.2">
      <c r="A7" s="39">
        <v>1</v>
      </c>
      <c r="B7" s="165" t="str">
        <f>IF('протокол регистрации'!B26&gt;0,'протокол регистрации'!B26,"")</f>
        <v>Роман</v>
      </c>
      <c r="C7" s="165" t="str">
        <f>IF('протокол регистрации'!C26&gt;0,'протокол регистрации'!C26,"")</f>
        <v>Румачик</v>
      </c>
      <c r="D7" s="33">
        <f>IF('протокол регистрации'!D26&gt;0,'протокол регистрации'!D26,"")</f>
        <v>39</v>
      </c>
      <c r="E7" s="130">
        <v>9.0057870370370368E-4</v>
      </c>
      <c r="F7" s="32">
        <f>IF(E7&gt;0,RANK(E7,$E$7:$E$26,1),"")</f>
        <v>4</v>
      </c>
      <c r="G7" s="131">
        <v>5</v>
      </c>
      <c r="H7" s="132">
        <v>3</v>
      </c>
      <c r="I7" s="38">
        <f>IF(G7&gt;$C$4,INDEX('таблица Б'!$B$3:$T$22,H7,COUNT($G$7:$G$26)-1),"")</f>
        <v>30</v>
      </c>
      <c r="J7" s="134">
        <v>5</v>
      </c>
      <c r="K7" s="132">
        <v>4</v>
      </c>
      <c r="L7" s="38">
        <f>IF(J7&gt;$C$4,INDEX('таблица Б'!$B$3:$T$22,K7,COUNT($J$7:$J$26)-1),"")</f>
        <v>10</v>
      </c>
      <c r="M7" s="134">
        <v>5</v>
      </c>
      <c r="N7" s="132">
        <v>4</v>
      </c>
      <c r="O7" s="38">
        <f>IF(M7&gt;$C$4,INDEX('таблица Б'!$B$3:$T$22,N7,COUNT($M$7:$M$26)-1),"")</f>
        <v>10</v>
      </c>
      <c r="P7" s="32">
        <f>IF(N7=0,"",LARGE((I7,L7,O7),1)+LARGE((I7,L7,O7),2))</f>
        <v>40</v>
      </c>
      <c r="Q7" s="109">
        <f>IF(N7&gt;0,RANK(P7,P$7:P$26,0),"")</f>
        <v>4</v>
      </c>
      <c r="S7" t="str">
        <f>IF(AND($E$10&gt;0,$H$7=0),"2-й ряд","")</f>
        <v/>
      </c>
      <c r="T7" s="1"/>
      <c r="U7" s="31" t="str">
        <f>IF(AND($E$10&gt;0,$H$7=0),INDEX($D$7:$D$26,MATCH(4,$F$7:$F$26,0)),"")</f>
        <v/>
      </c>
      <c r="V7" s="1"/>
      <c r="W7" s="31" t="str">
        <f>IF(AND($E$10&gt;0,$H$7=0),INDEX($D$7:$D$26,MATCH(5,$F$7:$F$26,0)),"")</f>
        <v/>
      </c>
      <c r="X7" s="1"/>
      <c r="Z7" t="str">
        <f>IF($K$10&gt;0,"2-й ряд","")</f>
        <v>2-й ряд</v>
      </c>
      <c r="AA7" s="1"/>
      <c r="AB7" s="31">
        <f>IF($K$10&gt;0,INDEX($D$7:$D$26,MATCH(4,$K$7:$K$26,0)),"")</f>
        <v>39</v>
      </c>
      <c r="AC7" s="1"/>
      <c r="AD7" s="31">
        <f>IF($K$10&gt;0,INDEX($D$7:$D$26,MATCH(5,$K$7:$K$26,0)),"")</f>
        <v>10</v>
      </c>
      <c r="AE7" s="1"/>
    </row>
    <row r="8" spans="1:31" x14ac:dyDescent="0.2">
      <c r="A8" s="39">
        <v>2</v>
      </c>
      <c r="B8" s="165" t="str">
        <f>IF('протокол регистрации'!B27&gt;0,'протокол регистрации'!B27,"")</f>
        <v>Антон</v>
      </c>
      <c r="C8" s="165" t="str">
        <f>IF('протокол регистрации'!C27&gt;0,'протокол регистрации'!C27,"")</f>
        <v>Ильницкий</v>
      </c>
      <c r="D8" s="33">
        <f>IF('протокол регистрации'!D27&gt;0,'протокол регистрации'!D27,"")</f>
        <v>63</v>
      </c>
      <c r="E8" s="130">
        <v>8.7685185185185175E-4</v>
      </c>
      <c r="F8" s="32">
        <f t="shared" ref="F8:F26" si="0">IF(E8&gt;0,RANK(E8,$E$7:$E$26,1),"")</f>
        <v>2</v>
      </c>
      <c r="G8" s="131">
        <v>5</v>
      </c>
      <c r="H8" s="132">
        <v>1</v>
      </c>
      <c r="I8" s="38">
        <f>IF(G8&gt;$C$4,INDEX('таблица Б'!$B$3:$T$22,H8,COUNT($G$7:$G$26)-1),"")</f>
        <v>60</v>
      </c>
      <c r="J8" s="134">
        <v>5</v>
      </c>
      <c r="K8" s="132">
        <v>2</v>
      </c>
      <c r="L8" s="38">
        <f>IF(J8&gt;$C$4,INDEX('таблица Б'!$B$3:$T$22,K8,COUNT($J$7:$J$26)-1),"")</f>
        <v>34</v>
      </c>
      <c r="M8" s="134">
        <v>5</v>
      </c>
      <c r="N8" s="133">
        <v>1</v>
      </c>
      <c r="O8" s="38">
        <f>IF(M8&gt;$C$4,INDEX('таблица Б'!$B$3:$T$22,N8,COUNT($M$7:$M$26)-1),"")</f>
        <v>50</v>
      </c>
      <c r="P8" s="168">
        <f>IF(N8=0,"",LARGE((I8,L8,O8),1)+LARGE((I8,L8,O8),2))</f>
        <v>110</v>
      </c>
      <c r="Q8" s="109">
        <f t="shared" ref="Q8:Q26" si="1">IF(N8&gt;0,RANK(P8,P$7:P$26,0),"")</f>
        <v>1</v>
      </c>
      <c r="T8" s="1"/>
      <c r="U8" s="1"/>
      <c r="V8" s="1"/>
      <c r="W8" s="1"/>
      <c r="X8" s="1"/>
      <c r="AA8" s="1"/>
      <c r="AB8" s="1"/>
      <c r="AC8" s="1"/>
      <c r="AD8" s="1"/>
      <c r="AE8" s="1"/>
    </row>
    <row r="9" spans="1:31" x14ac:dyDescent="0.2">
      <c r="A9" s="39">
        <v>3</v>
      </c>
      <c r="B9" s="165" t="str">
        <f>IF('протокол регистрации'!B28&gt;0,'протокол регистрации'!B28,"")</f>
        <v>Антон</v>
      </c>
      <c r="C9" s="165" t="str">
        <f>IF('протокол регистрации'!C28&gt;0,'протокол регистрации'!C28,"")</f>
        <v>Тихонов</v>
      </c>
      <c r="D9" s="33">
        <v>50</v>
      </c>
      <c r="E9" s="130">
        <v>8.9872685185185183E-4</v>
      </c>
      <c r="F9" s="32">
        <f t="shared" si="0"/>
        <v>3</v>
      </c>
      <c r="G9" s="131">
        <v>5</v>
      </c>
      <c r="H9" s="132">
        <v>2</v>
      </c>
      <c r="I9" s="38">
        <f>IF(G9&gt;$C$4,INDEX('таблица Б'!$B$3:$T$22,H9,COUNT($G$7:$G$26)-1),"")</f>
        <v>43</v>
      </c>
      <c r="J9" s="134">
        <v>5</v>
      </c>
      <c r="K9" s="133">
        <v>1</v>
      </c>
      <c r="L9" s="38">
        <f>IF(J9&gt;$C$4,INDEX('таблица Б'!$B$3:$T$22,K9,COUNT($J$7:$J$26)-1),"")</f>
        <v>50</v>
      </c>
      <c r="M9" s="134">
        <v>5</v>
      </c>
      <c r="N9" s="132">
        <v>2</v>
      </c>
      <c r="O9" s="38">
        <f>IF(M9&gt;$C$4,INDEX('таблица Б'!$B$3:$T$22,N9,COUNT($M$7:$M$26)-1),"")</f>
        <v>34</v>
      </c>
      <c r="P9" s="168">
        <f>IF(N9=0,"",LARGE((I9,L9,O9),1)+LARGE((I9,L9,O9),2))</f>
        <v>93</v>
      </c>
      <c r="Q9" s="109">
        <f t="shared" si="1"/>
        <v>2</v>
      </c>
      <c r="S9" t="str">
        <f>IF(AND($E$12&gt;0,$H$7=0),"3-й ряд","")</f>
        <v/>
      </c>
      <c r="T9" s="31" t="str">
        <f>IF(AND($E$12&gt;0,$H$7=0),INDEX($D$7:$D$26,MATCH(6,$F$7:$F$26,0)),"")</f>
        <v/>
      </c>
      <c r="U9" s="31"/>
      <c r="V9" s="31" t="str">
        <f>IF(AND($E$12&gt;0,$H$7=0),INDEX($D$7:$D$26,MATCH(7,$F$7:$F$26,0)),"")</f>
        <v/>
      </c>
      <c r="W9" s="31"/>
      <c r="X9" s="31" t="str">
        <f>IF(AND($E$12&gt;0,$H$7=0),INDEX($D$7:$D$26,MATCH(8,$F$7:$F$26,0)),"")</f>
        <v/>
      </c>
      <c r="Z9" t="str">
        <f>IF($K$12&gt;0,"3-й ряд","")</f>
        <v>3-й ряд</v>
      </c>
      <c r="AA9" s="31">
        <f>IF($K$12&gt;0,INDEX($D$7:$D$26,MATCH(6,$K$7:$K$26,0)),"")</f>
        <v>77</v>
      </c>
      <c r="AB9" s="31"/>
      <c r="AC9" s="31" t="e">
        <f>IF($K$12&gt;0,INDEX($D$7:$D$26,MATCH(7,$K$7:$K$26,0)),"")</f>
        <v>#N/A</v>
      </c>
      <c r="AD9" s="31"/>
      <c r="AE9" s="31" t="e">
        <f>IF($K$12&gt;0,INDEX($D$7:$D$26,MATCH(8,$K$7:$K$26,0)),"")</f>
        <v>#N/A</v>
      </c>
    </row>
    <row r="10" spans="1:31" x14ac:dyDescent="0.2">
      <c r="A10" s="39">
        <v>4</v>
      </c>
      <c r="B10" s="165" t="str">
        <f>IF('протокол регистрации'!B29&gt;0,'протокол регистрации'!B29,"")</f>
        <v>Дмитрий</v>
      </c>
      <c r="C10" s="165" t="str">
        <f>IF('протокол регистрации'!C29&gt;0,'протокол регистрации'!C29,"")</f>
        <v>Ходий</v>
      </c>
      <c r="D10" s="33">
        <f>IF('протокол регистрации'!D29&gt;0,'протокол регистрации'!D29,"")</f>
        <v>7</v>
      </c>
      <c r="E10" s="130">
        <v>9.1226851851851853E-4</v>
      </c>
      <c r="F10" s="32">
        <f t="shared" si="0"/>
        <v>5</v>
      </c>
      <c r="G10" s="131">
        <v>5</v>
      </c>
      <c r="H10" s="132">
        <v>4</v>
      </c>
      <c r="I10" s="38">
        <f>IF(G10&gt;$C$4,INDEX('таблица Б'!$B$3:$T$22,H10,COUNT($G$7:$G$26)-1),"")</f>
        <v>19</v>
      </c>
      <c r="J10" s="134">
        <v>5</v>
      </c>
      <c r="K10" s="132">
        <v>3</v>
      </c>
      <c r="L10" s="38">
        <f>IF(J10&gt;$C$4,INDEX('таблица Б'!$B$3:$T$22,K10,COUNT($J$7:$J$26)-1),"")</f>
        <v>21</v>
      </c>
      <c r="M10" s="134">
        <v>5</v>
      </c>
      <c r="N10" s="132">
        <v>3</v>
      </c>
      <c r="O10" s="38">
        <f>IF(M10&gt;$C$4,INDEX('таблица Б'!$B$3:$T$22,N10,COUNT($M$7:$M$26)-1),"")</f>
        <v>21</v>
      </c>
      <c r="P10" s="168">
        <f>IF(N10=0,"",LARGE((I10,L10,O10),1)+LARGE((I10,L10,O10),2))</f>
        <v>42</v>
      </c>
      <c r="Q10" s="109">
        <f t="shared" si="1"/>
        <v>3</v>
      </c>
      <c r="T10" s="1"/>
      <c r="U10" s="1"/>
      <c r="V10" s="1"/>
      <c r="W10" s="1"/>
      <c r="X10" s="1"/>
      <c r="AA10" s="1"/>
      <c r="AB10" s="1"/>
      <c r="AC10" s="1"/>
      <c r="AD10" s="1"/>
      <c r="AE10" s="1"/>
    </row>
    <row r="11" spans="1:31" x14ac:dyDescent="0.2">
      <c r="A11" s="39">
        <v>5</v>
      </c>
      <c r="B11" s="165" t="str">
        <f>IF('протокол регистрации'!B30&gt;0,'протокол регистрации'!B30,"")</f>
        <v>Алексей</v>
      </c>
      <c r="C11" s="165" t="str">
        <f>IF('протокол регистрации'!C30&gt;0,'протокол регистрации'!C30,"")</f>
        <v>Саенков</v>
      </c>
      <c r="D11" s="33">
        <f>IF('протокол регистрации'!D30&gt;0,'протокол регистрации'!D30,"")</f>
        <v>77</v>
      </c>
      <c r="E11" s="130">
        <v>9.3113425925925926E-4</v>
      </c>
      <c r="F11" s="32">
        <f t="shared" si="0"/>
        <v>6</v>
      </c>
      <c r="G11" s="131">
        <v>5</v>
      </c>
      <c r="H11" s="132">
        <v>6</v>
      </c>
      <c r="I11" s="38">
        <f>IF(G11&gt;$C$4,INDEX('таблица Б'!$B$3:$T$22,H11,COUNT($G$7:$G$26)-1),"")</f>
        <v>1</v>
      </c>
      <c r="J11" s="134" t="s">
        <v>132</v>
      </c>
      <c r="K11" s="132">
        <v>6</v>
      </c>
      <c r="L11" s="38">
        <f>IF(J11&gt;$C$4,INDEX('таблица Б'!$B$3:$T$22,K11,COUNT($J$7:$J$26)-1),"")</f>
        <v>0</v>
      </c>
      <c r="M11" s="134" t="s">
        <v>132</v>
      </c>
      <c r="N11" s="132">
        <v>6</v>
      </c>
      <c r="O11" s="38">
        <f>IF(M11&gt;$C$4,INDEX('таблица Б'!$B$3:$T$22,N11,COUNT($M$7:$M$26)-1),"")</f>
        <v>0</v>
      </c>
      <c r="P11" s="168">
        <f>IF(N11=0,"",LARGE((I11,L11,O11),1)+LARGE((I11,L11,O11),2))</f>
        <v>1</v>
      </c>
      <c r="Q11" s="109">
        <v>6</v>
      </c>
      <c r="S11" t="str">
        <f>IF(AND($E$15&gt;0,$H$7=0),"4-й ряд","")</f>
        <v/>
      </c>
      <c r="T11" s="1"/>
      <c r="U11" s="31" t="str">
        <f>IF(AND($E$15&gt;0,$H$7=0),INDEX($D$7:$D$26,MATCH(9,$F$7:$F$26,0)),"")</f>
        <v/>
      </c>
      <c r="V11" s="31"/>
      <c r="W11" s="31" t="str">
        <f>IF(AND($E$15&gt;0,$H$7=0),INDEX($D$7:$D$26,MATCH(10,$F$7:$F$26,0)),"")</f>
        <v/>
      </c>
      <c r="X11" s="1"/>
      <c r="Z11" t="str">
        <f>IF($K$15&gt;0,"4-й ряд","")</f>
        <v/>
      </c>
      <c r="AA11" s="1"/>
      <c r="AB11" s="31" t="str">
        <f>IF($K$15&gt;0,INDEX($D$7:$D$26,MATCH(9,$K$7:$K$26,0)),"")</f>
        <v/>
      </c>
      <c r="AC11" s="31"/>
      <c r="AD11" s="31" t="str">
        <f>IF($K$15&gt;0,INDEX($D$7:$D$26,MATCH(10,$K$7:$K$26,0)),"")</f>
        <v/>
      </c>
      <c r="AE11" s="1"/>
    </row>
    <row r="12" spans="1:31" x14ac:dyDescent="0.2">
      <c r="A12" s="39">
        <v>6</v>
      </c>
      <c r="B12" s="165" t="s">
        <v>60</v>
      </c>
      <c r="C12" s="165" t="s">
        <v>59</v>
      </c>
      <c r="D12" s="33">
        <f>IF('протокол регистрации'!D31&gt;0,'протокол регистрации'!D31,"")</f>
        <v>10</v>
      </c>
      <c r="E12" s="130">
        <v>8.7569444444444457E-4</v>
      </c>
      <c r="F12" s="32">
        <f t="shared" si="0"/>
        <v>1</v>
      </c>
      <c r="G12" s="131">
        <v>5</v>
      </c>
      <c r="H12" s="132">
        <v>5</v>
      </c>
      <c r="I12" s="38">
        <f>IF(G12&gt;$C$4,INDEX('таблица Б'!$B$3:$T$22,H12,COUNT($G$7:$G$26)-1),"")</f>
        <v>10</v>
      </c>
      <c r="J12" s="134">
        <v>5</v>
      </c>
      <c r="K12" s="132">
        <v>5</v>
      </c>
      <c r="L12" s="38">
        <f>IF(J12&gt;$C$4,INDEX('таблица Б'!$B$3:$T$22,K12,COUNT($J$7:$J$26)-1),"")</f>
        <v>1</v>
      </c>
      <c r="M12" s="134">
        <v>5</v>
      </c>
      <c r="N12" s="133">
        <v>5</v>
      </c>
      <c r="O12" s="38">
        <f>IF(M12&gt;$C$4,INDEX('таблица Б'!$B$3:$T$22,N12,COUNT($M$7:$M$26)-1),"")</f>
        <v>1</v>
      </c>
      <c r="P12" s="168">
        <f>IF(N12=0,"",LARGE((I12,L12,O12),1)+LARGE((I12,L12,O12),2))</f>
        <v>11</v>
      </c>
      <c r="Q12" s="109">
        <f t="shared" si="1"/>
        <v>5</v>
      </c>
      <c r="T12" s="1"/>
      <c r="U12" s="1"/>
      <c r="V12" s="1"/>
      <c r="W12" s="1"/>
      <c r="X12" s="1"/>
      <c r="AA12" s="1"/>
      <c r="AB12" s="1"/>
      <c r="AC12" s="1"/>
      <c r="AD12" s="1"/>
      <c r="AE12" s="1"/>
    </row>
    <row r="13" spans="1:31" x14ac:dyDescent="0.2">
      <c r="A13" s="39">
        <v>7</v>
      </c>
      <c r="B13" s="33" t="str">
        <f>IF('протокол регистрации'!B32&gt;0,'протокол регистрации'!B32,"")</f>
        <v/>
      </c>
      <c r="C13" s="33" t="str">
        <f>IF('протокол регистрации'!C32&gt;0,'протокол регистрации'!C32,"")</f>
        <v/>
      </c>
      <c r="D13" s="33" t="str">
        <f>IF('протокол регистрации'!D32&gt;0,'протокол регистрации'!D32,"")</f>
        <v/>
      </c>
      <c r="E13" s="130"/>
      <c r="F13" s="32" t="str">
        <f t="shared" si="0"/>
        <v/>
      </c>
      <c r="G13" s="131"/>
      <c r="H13" s="132"/>
      <c r="I13" s="38" t="str">
        <f>IF(G13&gt;$C$4,INDEX('таблица Б'!$B$3:$T$22,H13,COUNT($G$7:$G$26)-1),"")</f>
        <v/>
      </c>
      <c r="J13" s="134"/>
      <c r="K13" s="133"/>
      <c r="L13" s="38" t="str">
        <f>IF(J13&gt;$C$4,INDEX('таблица Б'!$B$3:$T$22,K13,COUNT($J$7:$J$26)-1),"")</f>
        <v/>
      </c>
      <c r="M13" s="134"/>
      <c r="N13" s="133"/>
      <c r="O13" s="38" t="str">
        <f>IF(M13&gt;$C$4,INDEX('таблица Б'!$B$3:$T$22,N13,COUNT($M$7:$M$26)-1),"")</f>
        <v/>
      </c>
      <c r="P13" s="32" t="str">
        <f>IF(N13=0,"",LARGE((I13,L13,O13),1)+LARGE((I13,L13,O13),2))</f>
        <v/>
      </c>
      <c r="Q13" s="109" t="str">
        <f t="shared" si="1"/>
        <v/>
      </c>
      <c r="S13" t="str">
        <f>IF(AND($E$17&gt;0,$H$7=0),"5-й ряд","")</f>
        <v/>
      </c>
      <c r="T13" s="31" t="str">
        <f>IF(AND($E$17&gt;0,$H$7=0),INDEX($D$7:$D$26,MATCH(11,$F$7:$F$26,0)),"")</f>
        <v/>
      </c>
      <c r="U13" s="31"/>
      <c r="V13" s="31" t="str">
        <f>IF(AND($E$17&gt;0,$H$7=0),INDEX($D$7:$D$26,MATCH(12,$F$7:$F$26,0)),"")</f>
        <v/>
      </c>
      <c r="W13" s="31"/>
      <c r="X13" s="31" t="str">
        <f>IF(AND($E$17&gt;0,$H$7=0),INDEX($D$7:$D$26,MATCH(13,$F$7:$F$26,0)),"")</f>
        <v/>
      </c>
      <c r="Z13" t="str">
        <f>IF($K$17&gt;0,"5-й ряд","")</f>
        <v/>
      </c>
      <c r="AA13" s="31" t="str">
        <f>IF($K$17&gt;0,INDEX($D$7:$D$26,MATCH(11,$K$7:$K$26,0)),"")</f>
        <v/>
      </c>
      <c r="AB13" s="31"/>
      <c r="AC13" s="31" t="str">
        <f>IF($K$17&gt;0,INDEX($D$7:$D$26,MATCH(12,$K$7:$K$26,0)),"")</f>
        <v/>
      </c>
      <c r="AD13" s="31"/>
      <c r="AE13" s="31" t="str">
        <f>IF($K$17&gt;0,INDEX($D$7:$D$26,MATCH(13,$K$7:$K$26,0)),"")</f>
        <v/>
      </c>
    </row>
    <row r="14" spans="1:31" x14ac:dyDescent="0.2">
      <c r="A14" s="39">
        <v>8</v>
      </c>
      <c r="B14" s="33" t="str">
        <f>IF('протокол регистрации'!B33&gt;0,'протокол регистрации'!B33,"")</f>
        <v/>
      </c>
      <c r="C14" s="33" t="str">
        <f>IF('протокол регистрации'!C33&gt;0,'протокол регистрации'!C33,"")</f>
        <v/>
      </c>
      <c r="D14" s="33" t="str">
        <f>IF('протокол регистрации'!D33&gt;0,'протокол регистрации'!D33,"")</f>
        <v/>
      </c>
      <c r="E14" s="130"/>
      <c r="F14" s="32" t="str">
        <f t="shared" si="0"/>
        <v/>
      </c>
      <c r="G14" s="131"/>
      <c r="H14" s="132"/>
      <c r="I14" s="38" t="str">
        <f>IF(G14&gt;$C$4,INDEX('таблица Б'!$B$3:$T$22,H14,COUNT($G$7:$G$26)-1),"")</f>
        <v/>
      </c>
      <c r="J14" s="134"/>
      <c r="K14" s="132"/>
      <c r="L14" s="38" t="str">
        <f>IF(J14&gt;$C$4,INDEX('таблица Б'!$B$3:$T$22,K14,COUNT($J$7:$J$26)-1),"")</f>
        <v/>
      </c>
      <c r="M14" s="134"/>
      <c r="N14" s="132"/>
      <c r="O14" s="38" t="str">
        <f>IF(M14&gt;$C$4,INDEX('таблица Б'!$B$3:$T$22,N14,COUNT($M$7:$M$26)-1),"")</f>
        <v/>
      </c>
      <c r="P14" s="32" t="str">
        <f>IF(N14=0,"",LARGE((I14,L14,O14),1)+LARGE((I14,L14,O14),2))</f>
        <v/>
      </c>
      <c r="Q14" s="109" t="str">
        <f t="shared" si="1"/>
        <v/>
      </c>
      <c r="T14" s="1"/>
      <c r="U14" s="1"/>
      <c r="V14" s="1"/>
      <c r="W14" s="1"/>
      <c r="X14" s="1"/>
      <c r="AA14" s="1"/>
      <c r="AB14" s="1"/>
      <c r="AC14" s="1"/>
      <c r="AD14" s="1"/>
      <c r="AE14" s="1"/>
    </row>
    <row r="15" spans="1:31" x14ac:dyDescent="0.2">
      <c r="A15" s="40">
        <v>9</v>
      </c>
      <c r="B15" s="33" t="str">
        <f>IF('протокол регистрации'!B34&gt;0,'протокол регистрации'!B34,"")</f>
        <v/>
      </c>
      <c r="C15" s="33" t="str">
        <f>IF('протокол регистрации'!C34&gt;0,'протокол регистрации'!C34,"")</f>
        <v/>
      </c>
      <c r="D15" s="33" t="str">
        <f>IF('протокол регистрации'!D34&gt;0,'протокол регистрации'!D34,"")</f>
        <v/>
      </c>
      <c r="E15" s="130"/>
      <c r="F15" s="32" t="str">
        <f t="shared" si="0"/>
        <v/>
      </c>
      <c r="G15" s="131"/>
      <c r="H15" s="132"/>
      <c r="I15" s="38" t="str">
        <f>IF(G15&gt;$C$4,INDEX('таблица Б'!$B$3:$T$22,H15,COUNT($G$7:$G$26)-1),"")</f>
        <v/>
      </c>
      <c r="J15" s="134"/>
      <c r="K15" s="133"/>
      <c r="L15" s="38" t="str">
        <f>IF(J15&gt;$C$4,INDEX('таблица Б'!$B$3:$T$22,K15,COUNT($J$7:$J$26)-1),"")</f>
        <v/>
      </c>
      <c r="M15" s="134"/>
      <c r="N15" s="132"/>
      <c r="O15" s="38" t="str">
        <f>IF(M15&gt;$C$4,INDEX('таблица Б'!$B$3:$T$22,N15,COUNT($M$7:$M$26)-1),"")</f>
        <v/>
      </c>
      <c r="P15" s="32" t="str">
        <f>IF(N15=0,"",LARGE((I15,L15,O15),1)+LARGE((I15,L15,O15),2))</f>
        <v/>
      </c>
      <c r="Q15" s="109" t="str">
        <f t="shared" si="1"/>
        <v/>
      </c>
      <c r="S15" t="str">
        <f>IF(AND($E$20&gt;0,$H$7=0),"6-й ряд","")</f>
        <v/>
      </c>
      <c r="T15" s="1"/>
      <c r="U15" s="31" t="str">
        <f>IF(AND($E$20&gt;0,$H$7=0),INDEX($D$7:$D$26,MATCH(14,$F$7:$F$26,0)),"")</f>
        <v/>
      </c>
      <c r="V15" s="31"/>
      <c r="W15" s="31" t="str">
        <f>IF(AND($E$20&gt;0,$H$7=0),INDEX($D$7:$D$26,MATCH(15,$F$7:$F$26,0)),"")</f>
        <v/>
      </c>
      <c r="X15" s="1"/>
      <c r="Z15" t="str">
        <f>IF($K$20&gt;0,"6-й ряд","")</f>
        <v/>
      </c>
      <c r="AA15" s="1"/>
      <c r="AB15" s="31" t="str">
        <f>IF($K$20&gt;0,INDEX($D$7:$D$26,MATCH(14,$K$7:$K$26,0)),"")</f>
        <v/>
      </c>
      <c r="AC15" s="31"/>
      <c r="AD15" s="31" t="str">
        <f>IF($K$20&gt;0,INDEX($D$7:$D$26,MATCH(15,$K$7:$K$26,0)),"")</f>
        <v/>
      </c>
      <c r="AE15" s="1"/>
    </row>
    <row r="16" spans="1:31" x14ac:dyDescent="0.2">
      <c r="A16" s="39">
        <v>10</v>
      </c>
      <c r="B16" s="33" t="str">
        <f>IF('протокол регистрации'!B35&gt;0,'протокол регистрации'!B35,"")</f>
        <v/>
      </c>
      <c r="C16" s="33" t="str">
        <f>IF('протокол регистрации'!C35&gt;0,'протокол регистрации'!C35,"")</f>
        <v/>
      </c>
      <c r="D16" s="33" t="str">
        <f>IF('протокол регистрации'!D35&gt;0,'протокол регистрации'!D35,"")</f>
        <v/>
      </c>
      <c r="E16" s="130"/>
      <c r="F16" s="32" t="str">
        <f t="shared" si="0"/>
        <v/>
      </c>
      <c r="G16" s="131"/>
      <c r="H16" s="132"/>
      <c r="I16" s="38" t="str">
        <f>IF(G16&gt;$C$4,INDEX('таблица Б'!$B$3:$T$22,H16,COUNT($G$7:$G$26)-1),"")</f>
        <v/>
      </c>
      <c r="J16" s="134"/>
      <c r="K16" s="133"/>
      <c r="L16" s="38" t="str">
        <f>IF(J16&gt;$C$4,INDEX('таблица Б'!$B$3:$T$22,K16,COUNT($J$7:$J$26)-1),"")</f>
        <v/>
      </c>
      <c r="M16" s="134"/>
      <c r="N16" s="132"/>
      <c r="O16" s="38" t="str">
        <f>IF(M16&gt;$C$4,INDEX('таблица Б'!$B$3:$T$22,N16,COUNT($M$7:$M$26)-1),"")</f>
        <v/>
      </c>
      <c r="P16" s="32" t="str">
        <f>IF(N16=0,"",LARGE((I16,L16,O16),1)+LARGE((I16,L16,O16),2))</f>
        <v/>
      </c>
      <c r="Q16" s="109" t="str">
        <f t="shared" si="1"/>
        <v/>
      </c>
    </row>
    <row r="17" spans="1:31" x14ac:dyDescent="0.2">
      <c r="A17" s="39">
        <v>11</v>
      </c>
      <c r="B17" s="33" t="str">
        <f>IF('протокол регистрации'!B36&gt;0,'протокол регистрации'!B36,"")</f>
        <v/>
      </c>
      <c r="C17" s="33" t="str">
        <f>IF('протокол регистрации'!C36&gt;0,'протокол регистрации'!C36,"")</f>
        <v/>
      </c>
      <c r="D17" s="33" t="str">
        <f>IF('протокол регистрации'!D36&gt;0,'протокол регистрации'!D36,"")</f>
        <v/>
      </c>
      <c r="E17" s="130"/>
      <c r="F17" s="32" t="str">
        <f t="shared" si="0"/>
        <v/>
      </c>
      <c r="G17" s="131"/>
      <c r="H17" s="133"/>
      <c r="I17" s="38" t="str">
        <f>IF(G17&gt;$C$4,INDEX('таблица Б'!$B$3:$T$22,H17,COUNT($G$7:$G$26)-1),"")</f>
        <v/>
      </c>
      <c r="J17" s="134"/>
      <c r="K17" s="132"/>
      <c r="L17" s="38" t="str">
        <f>IF(J17&gt;$C$4,INDEX('таблица Б'!$B$3:$T$22,K17,COUNT($J$7:$J$26)-1),"")</f>
        <v/>
      </c>
      <c r="M17" s="134"/>
      <c r="N17" s="132"/>
      <c r="O17" s="38" t="str">
        <f>IF(M17&gt;$C$4,INDEX('таблица Б'!$B$3:$T$22,N17,COUNT($M$7:$M$26)-1),"")</f>
        <v/>
      </c>
      <c r="P17" s="32" t="str">
        <f>IF(N17=0,"",LARGE((I17,L17,O17),1)+LARGE((I17,L17,O17),2))</f>
        <v/>
      </c>
      <c r="Q17" s="109" t="str">
        <f t="shared" si="1"/>
        <v/>
      </c>
      <c r="S17" t="str">
        <f>IF(AND($E$22&gt;0,$H$7=0),"7-й ряд","")</f>
        <v/>
      </c>
      <c r="T17" s="31" t="str">
        <f>IF(AND($E$22&gt;0,$H$7=0),INDEX($D$7:$D$26,MATCH(16,$F$7:$F$26,0)),"")</f>
        <v/>
      </c>
      <c r="U17" s="31"/>
      <c r="V17" s="31" t="str">
        <f>IF(AND($E$22&gt;0,$H$7=0),INDEX($D$7:$D$26,MATCH(17,$F$7:$F$26,0)),"")</f>
        <v/>
      </c>
      <c r="W17" s="31"/>
      <c r="X17" s="31" t="str">
        <f>IF(AND($E$22&gt;0,$H$7=0),INDEX($D$7:$D$26,MATCH(18,$F$7:$F$26,0)),"")</f>
        <v/>
      </c>
      <c r="Z17" t="str">
        <f>IF($K$22&gt;0,"7-й ряд","")</f>
        <v/>
      </c>
      <c r="AA17" s="31" t="str">
        <f>IF($K$22&gt;0,INDEX($D$7:$D$26,MATCH(16,$K$7:$K$26,0)),"")</f>
        <v/>
      </c>
      <c r="AB17" s="31"/>
      <c r="AC17" s="31" t="str">
        <f>IF($K$22&gt;0,INDEX($D$7:$D$26,MATCH(17,$K$7:$K$26,0)),"")</f>
        <v/>
      </c>
      <c r="AD17" s="31"/>
      <c r="AE17" s="31" t="str">
        <f>IF($K$22&gt;0,INDEX($D$7:$D$26,MATCH(18,$K$7:$K$26,0)),"")</f>
        <v/>
      </c>
    </row>
    <row r="18" spans="1:31" x14ac:dyDescent="0.2">
      <c r="A18" s="39">
        <v>12</v>
      </c>
      <c r="B18" s="33" t="str">
        <f>IF('протокол регистрации'!B37&gt;0,'протокол регистрации'!B37,"")</f>
        <v/>
      </c>
      <c r="C18" s="33" t="str">
        <f>IF('протокол регистрации'!C37&gt;0,'протокол регистрации'!C37,"")</f>
        <v/>
      </c>
      <c r="D18" s="33" t="str">
        <f>IF('протокол регистрации'!D37&gt;0,'протокол регистрации'!D37,"")</f>
        <v/>
      </c>
      <c r="E18" s="130"/>
      <c r="F18" s="32" t="str">
        <f t="shared" si="0"/>
        <v/>
      </c>
      <c r="G18" s="131"/>
      <c r="H18" s="133"/>
      <c r="I18" s="38" t="str">
        <f>IF(G18&gt;$C$4,INDEX('таблица Б'!$B$3:$T$22,H18,COUNT($G$7:$G$26)-1),"")</f>
        <v/>
      </c>
      <c r="J18" s="134"/>
      <c r="K18" s="132"/>
      <c r="L18" s="38" t="str">
        <f>IF(J18&gt;$C$4,INDEX('таблица Б'!$B$3:$T$22,K18,COUNT($J$7:$J$26)-1),"")</f>
        <v/>
      </c>
      <c r="M18" s="134"/>
      <c r="N18" s="132"/>
      <c r="O18" s="38" t="str">
        <f>IF(M18&gt;$C$4,INDEX('таблица Б'!$B$3:$T$22,N18,COUNT($M$7:$M$26)-1),"")</f>
        <v/>
      </c>
      <c r="P18" s="32" t="str">
        <f>IF(N18=0,"",LARGE((I18,L18,O18),1)+LARGE((I18,L18,O18),2))</f>
        <v/>
      </c>
      <c r="Q18" s="109" t="str">
        <f t="shared" si="1"/>
        <v/>
      </c>
      <c r="T18" s="30"/>
      <c r="U18" s="1"/>
      <c r="V18" s="1"/>
      <c r="W18" s="1"/>
      <c r="X18" s="1"/>
      <c r="AA18" s="30"/>
      <c r="AB18" s="1"/>
      <c r="AC18" s="1"/>
      <c r="AD18" s="1"/>
      <c r="AE18" s="1"/>
    </row>
    <row r="19" spans="1:31" x14ac:dyDescent="0.2">
      <c r="A19" s="39">
        <v>13</v>
      </c>
      <c r="B19" s="33" t="str">
        <f>IF('протокол регистрации'!B38&gt;0,'протокол регистрации'!B38,"")</f>
        <v/>
      </c>
      <c r="C19" s="33" t="str">
        <f>IF('протокол регистрации'!C38&gt;0,'протокол регистрации'!C38,"")</f>
        <v/>
      </c>
      <c r="D19" s="33" t="str">
        <f>IF('протокол регистрации'!D38&gt;0,'протокол регистрации'!D38,"")</f>
        <v/>
      </c>
      <c r="E19" s="130"/>
      <c r="F19" s="32" t="str">
        <f t="shared" si="0"/>
        <v/>
      </c>
      <c r="G19" s="131"/>
      <c r="H19" s="132"/>
      <c r="I19" s="38" t="str">
        <f>IF(G19&gt;$C$4,INDEX('таблица Б'!$B$3:$T$22,H19,COUNT($G$7:$G$26)-1),"")</f>
        <v/>
      </c>
      <c r="J19" s="134"/>
      <c r="K19" s="132"/>
      <c r="L19" s="38" t="str">
        <f>IF(J19&gt;$C$4,INDEX('таблица Б'!$B$3:$T$22,K19,COUNT($J$7:$J$26)-1),"")</f>
        <v/>
      </c>
      <c r="M19" s="134"/>
      <c r="N19" s="132"/>
      <c r="O19" s="38" t="str">
        <f>IF(M19&gt;$C$4,INDEX('таблица Б'!$B$3:$T$22,N19,COUNT($M$7:$M$26)-1),"")</f>
        <v/>
      </c>
      <c r="P19" s="32" t="str">
        <f>IF(N19=0,"",LARGE((I19,L19,O19),1)+LARGE((I19,L19,O19),2))</f>
        <v/>
      </c>
      <c r="Q19" s="109" t="str">
        <f t="shared" si="1"/>
        <v/>
      </c>
      <c r="S19" t="str">
        <f>IF(AND($E$25&gt;0,$H$7=0),"8-й ряд","")</f>
        <v/>
      </c>
      <c r="T19" s="1"/>
      <c r="U19" s="31" t="str">
        <f>IF(AND($E$25&gt;0,$H$7=0),INDEX($D$7:$D$26,MATCH(19,$F$7:$F$26,0)),"")</f>
        <v/>
      </c>
      <c r="V19" s="31"/>
      <c r="W19" s="31" t="str">
        <f>IF(AND($E$25&gt;0,$H$7=0),INDEX($D$7:$D$26,MATCH(20,$F$7:$F$26,0)),"")</f>
        <v/>
      </c>
      <c r="X19" s="1"/>
      <c r="Z19" t="str">
        <f>IF($K$25&gt;0,"8-й ряд","")</f>
        <v/>
      </c>
      <c r="AA19" s="1"/>
      <c r="AB19" s="31" t="str">
        <f>IF($K$25&gt;0,INDEX($D$7:$D$26,MATCH(19,$K$7:$K$26,0)),"")</f>
        <v/>
      </c>
      <c r="AC19" s="31"/>
      <c r="AD19" s="31" t="str">
        <f>IF($K$25&gt;0,INDEX($D$7:$D$26,MATCH(20,$K$7:$K$26,0)),"")</f>
        <v/>
      </c>
      <c r="AE19" s="1"/>
    </row>
    <row r="20" spans="1:31" x14ac:dyDescent="0.2">
      <c r="A20" s="39">
        <v>14</v>
      </c>
      <c r="B20" s="33" t="str">
        <f>IF('протокол регистрации'!B39&gt;0,'протокол регистрации'!B39,"")</f>
        <v/>
      </c>
      <c r="C20" s="33" t="str">
        <f>IF('протокол регистрации'!C39&gt;0,'протокол регистрации'!C39,"")</f>
        <v/>
      </c>
      <c r="D20" s="33" t="str">
        <f>IF('протокол регистрации'!D39&gt;0,'протокол регистрации'!D39,"")</f>
        <v/>
      </c>
      <c r="E20" s="130"/>
      <c r="F20" s="32" t="str">
        <f t="shared" si="0"/>
        <v/>
      </c>
      <c r="G20" s="131"/>
      <c r="H20" s="132"/>
      <c r="I20" s="38" t="str">
        <f>IF(G20&gt;$C$4,INDEX('таблица Б'!$B$3:$T$22,H20,COUNT($G$7:$G$26)-1),"")</f>
        <v/>
      </c>
      <c r="J20" s="134"/>
      <c r="K20" s="132"/>
      <c r="L20" s="38" t="str">
        <f>IF(J20&gt;$C$4,INDEX('таблица Б'!$B$3:$T$22,K20,COUNT($J$7:$J$26)-1),"")</f>
        <v/>
      </c>
      <c r="M20" s="134"/>
      <c r="N20" s="132"/>
      <c r="O20" s="38" t="str">
        <f>IF(M20&gt;$C$4,INDEX('таблица Б'!$B$3:$T$22,N20,COUNT($M$7:$M$26)-1),"")</f>
        <v/>
      </c>
      <c r="P20" s="32" t="str">
        <f>IF(N20=0,"",LARGE((I20,L20,O20),1)+LARGE((I20,L20,O20),2))</f>
        <v/>
      </c>
      <c r="Q20" s="109" t="str">
        <f t="shared" si="1"/>
        <v/>
      </c>
      <c r="T20" s="25"/>
      <c r="U20" s="1"/>
      <c r="V20" s="25"/>
      <c r="W20" s="1"/>
      <c r="X20" s="25"/>
    </row>
    <row r="21" spans="1:31" x14ac:dyDescent="0.2">
      <c r="A21" s="39">
        <v>15</v>
      </c>
      <c r="B21" s="33" t="str">
        <f>IF('протокол регистрации'!B40&gt;0,'протокол регистрации'!B40,"")</f>
        <v/>
      </c>
      <c r="C21" s="33" t="str">
        <f>IF('протокол регистрации'!C40&gt;0,'протокол регистрации'!C40,"")</f>
        <v/>
      </c>
      <c r="D21" s="33" t="str">
        <f>IF('протокол регистрации'!D40&gt;0,'протокол регистрации'!D40,"")</f>
        <v/>
      </c>
      <c r="E21" s="130"/>
      <c r="F21" s="32" t="str">
        <f t="shared" si="0"/>
        <v/>
      </c>
      <c r="G21" s="131"/>
      <c r="H21" s="132"/>
      <c r="I21" s="38" t="str">
        <f>IF(G21&gt;$C$4,INDEX('таблица Б'!$B$3:$T$22,H21,COUNT($G$7:$G$26)-1),"")</f>
        <v/>
      </c>
      <c r="J21" s="134"/>
      <c r="K21" s="132"/>
      <c r="L21" s="38" t="str">
        <f>IF(J21&gt;$C$4,INDEX('таблица Б'!$B$3:$T$22,K21,COUNT($J$7:$J$26)-1),"")</f>
        <v/>
      </c>
      <c r="M21" s="134"/>
      <c r="N21" s="132"/>
      <c r="O21" s="38" t="str">
        <f>IF(M21&gt;$C$4,INDEX('таблица Б'!$B$3:$T$22,N21,COUNT($M$7:$M$26)-1),"")</f>
        <v/>
      </c>
      <c r="P21" s="32" t="str">
        <f>IF(N21=0,"",LARGE((I21,L21,O21),1)+LARGE((I21,L21,O21),2))</f>
        <v/>
      </c>
      <c r="Q21" s="109" t="str">
        <f t="shared" si="1"/>
        <v/>
      </c>
      <c r="T21" s="185" t="str">
        <f>IF(AND($H$7&gt;0,$K$7=0),"решётка 2-го заезда","")</f>
        <v/>
      </c>
      <c r="U21" s="186"/>
      <c r="V21" s="186"/>
      <c r="W21" s="186"/>
      <c r="X21" s="186"/>
    </row>
    <row r="22" spans="1:31" x14ac:dyDescent="0.2">
      <c r="A22" s="39">
        <v>16</v>
      </c>
      <c r="B22" s="33" t="str">
        <f>IF('протокол регистрации'!B41&gt;0,'протокол регистрации'!B41,"")</f>
        <v/>
      </c>
      <c r="C22" s="33" t="str">
        <f>IF('протокол регистрации'!C41&gt;0,'протокол регистрации'!C41,"")</f>
        <v/>
      </c>
      <c r="D22" s="33" t="str">
        <f>IF('протокол регистрации'!D41&gt;0,'протокол регистрации'!D41,"")</f>
        <v/>
      </c>
      <c r="E22" s="130"/>
      <c r="F22" s="32" t="str">
        <f t="shared" si="0"/>
        <v/>
      </c>
      <c r="G22" s="131"/>
      <c r="H22" s="132"/>
      <c r="I22" s="38" t="str">
        <f>IF(G22&gt;$C$4,INDEX('таблица Б'!$B$3:$T$22,H22,COUNT($G$7:$G$26)-1),"")</f>
        <v/>
      </c>
      <c r="J22" s="134"/>
      <c r="K22" s="132"/>
      <c r="L22" s="38" t="str">
        <f>IF(J22&gt;$C$4,INDEX('таблица Б'!$B$3:$T$22,K22,COUNT($J$7:$J$26)-1),"")</f>
        <v/>
      </c>
      <c r="M22" s="134"/>
      <c r="N22" s="132"/>
      <c r="O22" s="38" t="str">
        <f>IF(M22&gt;$C$4,INDEX('таблица Б'!$B$3:$T$22,N22,COUNT($M$7:$M$26)-1),"")</f>
        <v/>
      </c>
      <c r="P22" s="32" t="str">
        <f>IF(N22=0,"",LARGE((I22,L22,O22),1)+LARGE((I22,L22,O22),2))</f>
        <v/>
      </c>
      <c r="Q22" s="109" t="str">
        <f t="shared" si="1"/>
        <v/>
      </c>
    </row>
    <row r="23" spans="1:31" x14ac:dyDescent="0.2">
      <c r="A23" s="39">
        <v>17</v>
      </c>
      <c r="B23" s="33" t="str">
        <f>IF('протокол регистрации'!B42&gt;0,'протокол регистрации'!B42,"")</f>
        <v/>
      </c>
      <c r="C23" s="33" t="str">
        <f>IF('протокол регистрации'!C42&gt;0,'протокол регистрации'!C42,"")</f>
        <v/>
      </c>
      <c r="D23" s="33" t="str">
        <f>IF('протокол регистрации'!D42&gt;0,'протокол регистрации'!D42,"")</f>
        <v/>
      </c>
      <c r="E23" s="130"/>
      <c r="F23" s="32" t="str">
        <f t="shared" si="0"/>
        <v/>
      </c>
      <c r="G23" s="131"/>
      <c r="H23" s="132"/>
      <c r="I23" s="38" t="str">
        <f>IF(G23&gt;$C$4,INDEX('таблица Б'!$B$3:$T$22,H23,COUNT($G$7:$G$26)-1),"")</f>
        <v/>
      </c>
      <c r="J23" s="134"/>
      <c r="K23" s="132"/>
      <c r="L23" s="38" t="str">
        <f>IF(J23&gt;$C$4,INDEX('таблица Б'!$B$3:$T$22,K23,COUNT($J$7:$J$26)-1),"")</f>
        <v/>
      </c>
      <c r="M23" s="134"/>
      <c r="N23" s="132"/>
      <c r="O23" s="38" t="str">
        <f>IF(M23&gt;$C$4,INDEX('таблица Б'!$B$3:$T$22,N23,COUNT($M$7:$M$26)-1),"")</f>
        <v/>
      </c>
      <c r="P23" s="32" t="str">
        <f>IF(N23=0,"",LARGE((I23,L23,O23),1)+LARGE((I23,L23,O23),2))</f>
        <v/>
      </c>
      <c r="Q23" s="109" t="str">
        <f t="shared" si="1"/>
        <v/>
      </c>
      <c r="S23" t="str">
        <f>IF(AND($H$7&gt;0,$K$7=0),"1-й ряд","")</f>
        <v/>
      </c>
      <c r="T23" s="31" t="str">
        <f>IF(AND($H$7&gt;0,$K$7=0),INDEX($D$7:$D$26,MATCH(1,$H$7:$H$26,0)),"")</f>
        <v/>
      </c>
      <c r="U23" s="31"/>
      <c r="V23" s="31" t="str">
        <f>IF(AND($H$7&gt;0,$K$7=0),INDEX($D$7:$D$26,MATCH(2,$H$7:$H$26,0)),"")</f>
        <v/>
      </c>
      <c r="W23" s="31"/>
      <c r="X23" s="31" t="str">
        <f>IF(AND($H$7&gt;0,$K$7=0),INDEX($D$7:$D$26,MATCH(3,$H$7:$H$26,0)),"")</f>
        <v/>
      </c>
    </row>
    <row r="24" spans="1:31" x14ac:dyDescent="0.2">
      <c r="A24" s="39">
        <v>18</v>
      </c>
      <c r="B24" s="33" t="str">
        <f>IF('протокол регистрации'!B43&gt;0,'протокол регистрации'!B43,"")</f>
        <v/>
      </c>
      <c r="C24" s="33" t="str">
        <f>IF('протокол регистрации'!C43&gt;0,'протокол регистрации'!C43,"")</f>
        <v/>
      </c>
      <c r="D24" s="33" t="str">
        <f>IF('протокол регистрации'!D43&gt;0,'протокол регистрации'!D43,"")</f>
        <v/>
      </c>
      <c r="E24" s="130"/>
      <c r="F24" s="32" t="str">
        <f t="shared" si="0"/>
        <v/>
      </c>
      <c r="G24" s="131"/>
      <c r="H24" s="132"/>
      <c r="I24" s="38" t="str">
        <f>IF(G24&gt;$C$4,INDEX('таблица Б'!$B$3:$T$22,H24,COUNT($G$7:$G$26)-1),"")</f>
        <v/>
      </c>
      <c r="J24" s="134"/>
      <c r="K24" s="132"/>
      <c r="L24" s="38" t="str">
        <f>IF(J24&gt;$C$4,INDEX('таблица Б'!$B$3:$T$22,K24,COUNT($J$7:$J$26)-1),"")</f>
        <v/>
      </c>
      <c r="M24" s="134"/>
      <c r="N24" s="132"/>
      <c r="O24" s="38" t="str">
        <f>IF(M24&gt;$C$4,INDEX('таблица Б'!$B$3:$T$22,N24,COUNT($M$7:$M$26)-1),"")</f>
        <v/>
      </c>
      <c r="P24" s="32" t="str">
        <f>IF(N24=0,"",LARGE((I24,L24,O24),1)+LARGE((I24,L24,O24),2))</f>
        <v/>
      </c>
      <c r="Q24" s="109" t="str">
        <f t="shared" si="1"/>
        <v/>
      </c>
      <c r="T24" s="31"/>
      <c r="U24" s="1"/>
      <c r="V24" s="1"/>
      <c r="W24" s="1"/>
      <c r="X24" s="1"/>
    </row>
    <row r="25" spans="1:31" x14ac:dyDescent="0.2">
      <c r="A25" s="39">
        <v>19</v>
      </c>
      <c r="B25" s="33" t="str">
        <f>IF('протокол регистрации'!B44&gt;0,'протокол регистрации'!B44,"")</f>
        <v/>
      </c>
      <c r="C25" s="33" t="str">
        <f>IF('протокол регистрации'!C44&gt;0,'протокол регистрации'!C44,"")</f>
        <v/>
      </c>
      <c r="D25" s="33" t="str">
        <f>IF('протокол регистрации'!D44&gt;0,'протокол регистрации'!D44,"")</f>
        <v/>
      </c>
      <c r="E25" s="130"/>
      <c r="F25" s="32" t="str">
        <f t="shared" si="0"/>
        <v/>
      </c>
      <c r="G25" s="131"/>
      <c r="H25" s="132"/>
      <c r="I25" s="38" t="str">
        <f>IF(G25&gt;$C$4,INDEX('таблица Б'!$B$3:$T$22,H25,COUNT($G$7:$G$26)-1),"")</f>
        <v/>
      </c>
      <c r="J25" s="134"/>
      <c r="K25" s="132"/>
      <c r="L25" s="38" t="str">
        <f>IF(J25&gt;$C$4,INDEX('таблица Б'!$B$3:$T$22,K25,COUNT($J$7:$J$26)-1),"")</f>
        <v/>
      </c>
      <c r="M25" s="134"/>
      <c r="N25" s="132"/>
      <c r="O25" s="38" t="str">
        <f>IF(M25&gt;$C$4,INDEX('таблица Б'!$B$3:$T$22,N25,COUNT($M$7:$M$26)-1),"")</f>
        <v/>
      </c>
      <c r="P25" s="32" t="str">
        <f>IF(N25=0,"",LARGE((I25,L25,O25),1)+LARGE((I25,L25,O25),2))</f>
        <v/>
      </c>
      <c r="Q25" s="109" t="str">
        <f t="shared" si="1"/>
        <v/>
      </c>
      <c r="S25" t="str">
        <f>IF(AND($H$10&gt;0,$K$7=0),"2-й ряд","")</f>
        <v/>
      </c>
      <c r="T25" s="1"/>
      <c r="U25" s="31" t="str">
        <f>IF(AND($H$10&gt;0,$K$7=0),INDEX($D$7:$D$26,MATCH(4,$H$7:$H$26,0)),"")</f>
        <v/>
      </c>
      <c r="V25" s="1"/>
      <c r="W25" s="31" t="str">
        <f>IF(AND($H$10&gt;0,$K$7=0),INDEX($D$7:$D$26,MATCH(5,$H$7:$H$26,0)),"")</f>
        <v/>
      </c>
      <c r="X25" s="1"/>
    </row>
    <row r="26" spans="1:31" x14ac:dyDescent="0.2">
      <c r="A26" s="39">
        <v>20</v>
      </c>
      <c r="B26" s="33" t="str">
        <f>IF('протокол регистрации'!B45&gt;0,'протокол регистрации'!B45,"")</f>
        <v/>
      </c>
      <c r="C26" s="33" t="str">
        <f>IF('протокол регистрации'!C45&gt;0,'протокол регистрации'!C45,"")</f>
        <v/>
      </c>
      <c r="D26" s="33" t="str">
        <f>IF('протокол регистрации'!D45&gt;0,'протокол регистрации'!D45,"")</f>
        <v/>
      </c>
      <c r="E26" s="130"/>
      <c r="F26" s="32" t="str">
        <f t="shared" si="0"/>
        <v/>
      </c>
      <c r="G26" s="131"/>
      <c r="H26" s="132"/>
      <c r="I26" s="38" t="str">
        <f>IF(G26&gt;$C$4,INDEX('таблица Б'!$B$3:$T$22,H26,COUNT($G$7:$G$26)-1),"")</f>
        <v/>
      </c>
      <c r="J26" s="134"/>
      <c r="K26" s="132"/>
      <c r="L26" s="38" t="str">
        <f>IF(J26&gt;$C$4,INDEX('таблица Б'!$B$3:$T$22,K26,COUNT($J$7:$J$26)-1),"")</f>
        <v/>
      </c>
      <c r="M26" s="134"/>
      <c r="N26" s="132"/>
      <c r="O26" s="38" t="str">
        <f>IF(M26&gt;$C$4,INDEX('таблица Б'!$B$3:$T$22,N26,COUNT($M$7:$M$26)-1),"")</f>
        <v/>
      </c>
      <c r="P26" s="32" t="str">
        <f>IF(N26=0,"",LARGE((I26,L26,O26),1)+LARGE((I26,L26,O26),2))</f>
        <v/>
      </c>
      <c r="Q26" s="109" t="str">
        <f t="shared" si="1"/>
        <v/>
      </c>
      <c r="T26" s="1"/>
      <c r="U26" s="1"/>
      <c r="V26" s="1"/>
      <c r="W26" s="1"/>
      <c r="X26" s="1"/>
    </row>
    <row r="27" spans="1:31" x14ac:dyDescent="0.2">
      <c r="P27" s="26"/>
      <c r="S27" t="str">
        <f>IF(AND($H$12&gt;0,$K$7=0),"3-й ряд","")</f>
        <v/>
      </c>
      <c r="T27" s="31" t="str">
        <f>IF(AND($H$12&gt;0,$K$7=0),INDEX($D$7:$D$26,MATCH(6,$H$7:$H$26,0)),"")</f>
        <v/>
      </c>
      <c r="U27" s="31"/>
      <c r="V27" s="31" t="str">
        <f>IF(AND($H$12&gt;0,$K$7=0),INDEX($D$7:$D$26,MATCH(7,$H$7:$H$26,0)),"")</f>
        <v/>
      </c>
      <c r="W27" s="31"/>
      <c r="X27" s="31" t="str">
        <f>IF(AND($H$12&gt;0,$K$7=0),INDEX($D$7:$D$26,MATCH(8,$H$7:$H$26,0)),"")</f>
        <v/>
      </c>
    </row>
    <row r="28" spans="1:31" x14ac:dyDescent="0.2">
      <c r="T28" s="1"/>
      <c r="U28" s="1"/>
      <c r="V28" s="1"/>
      <c r="W28" s="1"/>
      <c r="X28" s="1"/>
    </row>
    <row r="29" spans="1:31" x14ac:dyDescent="0.2">
      <c r="S29" t="str">
        <f>IF(AND($H$15&gt;0,$K$7=0),"4-й ряд","")</f>
        <v/>
      </c>
      <c r="T29" s="1"/>
      <c r="U29" s="31" t="str">
        <f>IF(AND($H$15&gt;0,$K$7=0),INDEX($D$7:$D$26,MATCH(9,$H$7:$H$26,0)),"")</f>
        <v/>
      </c>
      <c r="V29" s="31"/>
      <c r="W29" s="31" t="str">
        <f>IF(AND($H$15&gt;0,$K$7=0),INDEX($D$7:$D$26,MATCH(10,$H$7:$H$26,0)),"")</f>
        <v/>
      </c>
      <c r="X29" s="1"/>
    </row>
    <row r="30" spans="1:31" x14ac:dyDescent="0.2">
      <c r="T30" s="1"/>
      <c r="U30" s="1"/>
      <c r="V30" s="1"/>
      <c r="W30" s="1"/>
      <c r="X30" s="1"/>
    </row>
    <row r="31" spans="1:31" x14ac:dyDescent="0.2">
      <c r="S31" t="str">
        <f>IF(AND($H$17&gt;0,$K$7=0),"5-й ряд","")</f>
        <v/>
      </c>
      <c r="T31" s="31" t="str">
        <f>IF(AND($H$17&gt;0,$K$7=0),INDEX($D$7:$D$26,MATCH(11,$H$7:$H$26,0)),"")</f>
        <v/>
      </c>
      <c r="U31" s="31"/>
      <c r="V31" s="31" t="str">
        <f>IF(AND($H$17&gt;0,$K$7=0),INDEX($D$7:$D$26,MATCH(12,$H$7:$H$26,0)),"")</f>
        <v/>
      </c>
      <c r="W31" s="31"/>
      <c r="X31" s="31" t="str">
        <f>IF(AND($H$17&gt;0,$K$7=0),INDEX($D$7:$D$26,MATCH(13,$H$7:$H$26,0)),"")</f>
        <v/>
      </c>
    </row>
    <row r="32" spans="1:31" x14ac:dyDescent="0.2">
      <c r="T32" s="1"/>
      <c r="U32" s="1"/>
      <c r="V32" s="1"/>
      <c r="W32" s="1"/>
      <c r="X32" s="1"/>
    </row>
    <row r="33" spans="19:24" x14ac:dyDescent="0.2">
      <c r="S33" t="str">
        <f>IF(AND($H$20&gt;0,$K$7=0),"6-й ряд","")</f>
        <v/>
      </c>
      <c r="T33" s="1"/>
      <c r="U33" s="31" t="str">
        <f>IF(AND($H$20&gt;0,$K$7=0),INDEX($D$7:$D$26,MATCH(14,$H$7:$H$26,0)),"")</f>
        <v/>
      </c>
      <c r="V33" s="31"/>
      <c r="W33" s="31" t="str">
        <f>IF(AND($H$20&gt;0,$K$7=0),INDEX($D$7:$D$26,MATCH(15,$H$7:$H$26,0)),"")</f>
        <v/>
      </c>
      <c r="X33" s="1"/>
    </row>
    <row r="35" spans="19:24" x14ac:dyDescent="0.2">
      <c r="S35" t="str">
        <f>IF(AND($H$22&gt;0,$K$7=0),"7-й ряд","")</f>
        <v/>
      </c>
      <c r="T35" s="31" t="str">
        <f>IF(AND($H$22&gt;0,$K$7=0),INDEX($D$7:$D$26,MATCH(16,$H$7:$H$26,0)),"")</f>
        <v/>
      </c>
      <c r="U35" s="31"/>
      <c r="V35" s="31" t="str">
        <f>IF(AND($H$22&gt;0,$K$7=0),INDEX($D$7:$D$26,MATCH(17,$H$7:$H$26,0)),"")</f>
        <v/>
      </c>
      <c r="W35" s="31"/>
      <c r="X35" s="31" t="str">
        <f>IF(AND($H$22&gt;0,$K$7=0),INDEX($D$7:$D$26,MATCH(18,$H$7:$H$26,0)),"")</f>
        <v/>
      </c>
    </row>
    <row r="36" spans="19:24" x14ac:dyDescent="0.2">
      <c r="T36" s="30"/>
      <c r="U36" s="1"/>
      <c r="V36" s="1"/>
      <c r="W36" s="1"/>
      <c r="X36" s="1"/>
    </row>
    <row r="37" spans="19:24" x14ac:dyDescent="0.2">
      <c r="S37" t="str">
        <f>IF(AND($H$25&gt;0,$K$7=0),"8-й ряд","")</f>
        <v/>
      </c>
      <c r="T37" s="1"/>
      <c r="U37" s="31" t="str">
        <f>IF(AND($H$25&gt;0,$K$7=0),INDEX($D$7:$D$26,MATCH(19,$H$7:$H$26,0)),"")</f>
        <v/>
      </c>
      <c r="V37" s="31"/>
      <c r="W37" s="31" t="str">
        <f>IF(AND($H$25&gt;0,$K$7=0),INDEX($D$7:$D$26,MATCH(20,$H$7:$H$26,0)),"")</f>
        <v/>
      </c>
      <c r="X37" s="1"/>
    </row>
  </sheetData>
  <mergeCells count="9">
    <mergeCell ref="AA1:AE1"/>
    <mergeCell ref="T21:X21"/>
    <mergeCell ref="A1:Q1"/>
    <mergeCell ref="E5:F5"/>
    <mergeCell ref="G5:I5"/>
    <mergeCell ref="J5:L5"/>
    <mergeCell ref="M5:O5"/>
    <mergeCell ref="P5:Q5"/>
    <mergeCell ref="T1:X1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O21"/>
  <sheetViews>
    <sheetView topLeftCell="B1" zoomScaleNormal="100" workbookViewId="0">
      <selection activeCell="B6" sqref="B6"/>
    </sheetView>
  </sheetViews>
  <sheetFormatPr defaultRowHeight="12.75" x14ac:dyDescent="0.2"/>
  <cols>
    <col min="1" max="1" width="3.5703125" bestFit="1" customWidth="1"/>
    <col min="2" max="2" width="15" customWidth="1"/>
    <col min="3" max="3" width="13" customWidth="1"/>
    <col min="4" max="4" width="8.140625" bestFit="1" customWidth="1"/>
    <col min="5" max="5" width="6" bestFit="1" customWidth="1"/>
    <col min="6" max="85" width="3" bestFit="1" customWidth="1"/>
    <col min="86" max="89" width="3.140625" customWidth="1"/>
    <col min="90" max="90" width="4.85546875" bestFit="1" customWidth="1"/>
    <col min="91" max="91" width="6" bestFit="1" customWidth="1"/>
    <col min="92" max="92" width="8.28515625" bestFit="1" customWidth="1"/>
    <col min="93" max="93" width="6" bestFit="1" customWidth="1"/>
  </cols>
  <sheetData>
    <row r="2" spans="1:93" ht="13.5" thickBot="1" x14ac:dyDescent="0.25"/>
    <row r="3" spans="1:93" x14ac:dyDescent="0.2">
      <c r="A3" s="210" t="s">
        <v>85</v>
      </c>
      <c r="B3" s="213" t="s">
        <v>1</v>
      </c>
      <c r="C3" s="216" t="s">
        <v>22</v>
      </c>
      <c r="D3" s="219" t="s">
        <v>86</v>
      </c>
      <c r="E3" s="202"/>
      <c r="F3" s="200" t="s">
        <v>87</v>
      </c>
      <c r="G3" s="201"/>
      <c r="H3" s="203"/>
      <c r="I3" s="202"/>
      <c r="J3" s="199" t="s">
        <v>88</v>
      </c>
      <c r="K3" s="201"/>
      <c r="L3" s="203"/>
      <c r="M3" s="202"/>
      <c r="N3" s="199" t="s">
        <v>89</v>
      </c>
      <c r="O3" s="201"/>
      <c r="P3" s="203"/>
      <c r="Q3" s="202"/>
      <c r="R3" s="199" t="s">
        <v>90</v>
      </c>
      <c r="S3" s="201"/>
      <c r="T3" s="203"/>
      <c r="U3" s="202"/>
      <c r="V3" s="199" t="s">
        <v>91</v>
      </c>
      <c r="W3" s="200"/>
      <c r="X3" s="201"/>
      <c r="Y3" s="202"/>
      <c r="Z3" s="199" t="s">
        <v>92</v>
      </c>
      <c r="AA3" s="200"/>
      <c r="AB3" s="201"/>
      <c r="AC3" s="202"/>
      <c r="AD3" s="199" t="s">
        <v>93</v>
      </c>
      <c r="AE3" s="200"/>
      <c r="AF3" s="201"/>
      <c r="AG3" s="202"/>
      <c r="AH3" s="199" t="s">
        <v>94</v>
      </c>
      <c r="AI3" s="200"/>
      <c r="AJ3" s="201"/>
      <c r="AK3" s="202"/>
      <c r="AL3" s="199" t="s">
        <v>95</v>
      </c>
      <c r="AM3" s="200"/>
      <c r="AN3" s="201"/>
      <c r="AO3" s="202"/>
      <c r="AP3" s="199" t="s">
        <v>96</v>
      </c>
      <c r="AQ3" s="200"/>
      <c r="AR3" s="201"/>
      <c r="AS3" s="202"/>
      <c r="AT3" s="199" t="s">
        <v>97</v>
      </c>
      <c r="AU3" s="200"/>
      <c r="AV3" s="201"/>
      <c r="AW3" s="202"/>
      <c r="AX3" s="199" t="s">
        <v>98</v>
      </c>
      <c r="AY3" s="200"/>
      <c r="AZ3" s="201"/>
      <c r="BA3" s="202"/>
      <c r="BB3" s="199" t="s">
        <v>99</v>
      </c>
      <c r="BC3" s="200"/>
      <c r="BD3" s="201"/>
      <c r="BE3" s="202"/>
      <c r="BF3" s="199" t="s">
        <v>100</v>
      </c>
      <c r="BG3" s="200"/>
      <c r="BH3" s="201"/>
      <c r="BI3" s="202"/>
      <c r="BJ3" s="199" t="s">
        <v>101</v>
      </c>
      <c r="BK3" s="200"/>
      <c r="BL3" s="201"/>
      <c r="BM3" s="202"/>
      <c r="BN3" s="199" t="s">
        <v>102</v>
      </c>
      <c r="BO3" s="200"/>
      <c r="BP3" s="201"/>
      <c r="BQ3" s="202"/>
      <c r="BR3" s="199" t="s">
        <v>103</v>
      </c>
      <c r="BS3" s="200"/>
      <c r="BT3" s="201"/>
      <c r="BU3" s="202"/>
      <c r="BV3" s="199" t="s">
        <v>104</v>
      </c>
      <c r="BW3" s="200"/>
      <c r="BX3" s="201"/>
      <c r="BY3" s="202"/>
      <c r="BZ3" s="199" t="s">
        <v>105</v>
      </c>
      <c r="CA3" s="200"/>
      <c r="CB3" s="201"/>
      <c r="CC3" s="202"/>
      <c r="CD3" s="199" t="s">
        <v>106</v>
      </c>
      <c r="CE3" s="200"/>
      <c r="CF3" s="201"/>
      <c r="CG3" s="203"/>
      <c r="CH3" s="204" t="s">
        <v>107</v>
      </c>
      <c r="CI3" s="205"/>
      <c r="CJ3" s="205"/>
      <c r="CK3" s="205"/>
      <c r="CL3" s="205"/>
      <c r="CM3" s="206"/>
      <c r="CN3" s="192" t="s">
        <v>108</v>
      </c>
      <c r="CO3" s="193"/>
    </row>
    <row r="4" spans="1:93" x14ac:dyDescent="0.2">
      <c r="A4" s="211"/>
      <c r="B4" s="214"/>
      <c r="C4" s="217"/>
      <c r="D4" s="194" t="s">
        <v>11</v>
      </c>
      <c r="E4" s="196" t="s">
        <v>12</v>
      </c>
      <c r="F4" s="198" t="s">
        <v>109</v>
      </c>
      <c r="G4" s="181"/>
      <c r="H4" s="181"/>
      <c r="I4" s="191"/>
      <c r="J4" s="190" t="s">
        <v>109</v>
      </c>
      <c r="K4" s="181"/>
      <c r="L4" s="181"/>
      <c r="M4" s="191"/>
      <c r="N4" s="190" t="s">
        <v>109</v>
      </c>
      <c r="O4" s="181"/>
      <c r="P4" s="181"/>
      <c r="Q4" s="191"/>
      <c r="R4" s="190" t="s">
        <v>109</v>
      </c>
      <c r="S4" s="181"/>
      <c r="T4" s="181"/>
      <c r="U4" s="191"/>
      <c r="V4" s="190" t="s">
        <v>109</v>
      </c>
      <c r="W4" s="181"/>
      <c r="X4" s="181"/>
      <c r="Y4" s="191"/>
      <c r="Z4" s="190" t="s">
        <v>109</v>
      </c>
      <c r="AA4" s="181"/>
      <c r="AB4" s="181"/>
      <c r="AC4" s="191"/>
      <c r="AD4" s="190" t="s">
        <v>109</v>
      </c>
      <c r="AE4" s="181"/>
      <c r="AF4" s="181"/>
      <c r="AG4" s="191"/>
      <c r="AH4" s="190" t="s">
        <v>109</v>
      </c>
      <c r="AI4" s="181"/>
      <c r="AJ4" s="181"/>
      <c r="AK4" s="191"/>
      <c r="AL4" s="190" t="s">
        <v>109</v>
      </c>
      <c r="AM4" s="181"/>
      <c r="AN4" s="181"/>
      <c r="AO4" s="191"/>
      <c r="AP4" s="190" t="s">
        <v>109</v>
      </c>
      <c r="AQ4" s="181"/>
      <c r="AR4" s="181"/>
      <c r="AS4" s="191"/>
      <c r="AT4" s="190" t="s">
        <v>109</v>
      </c>
      <c r="AU4" s="181"/>
      <c r="AV4" s="181"/>
      <c r="AW4" s="191"/>
      <c r="AX4" s="190" t="s">
        <v>109</v>
      </c>
      <c r="AY4" s="181"/>
      <c r="AZ4" s="181"/>
      <c r="BA4" s="191"/>
      <c r="BB4" s="190" t="s">
        <v>109</v>
      </c>
      <c r="BC4" s="181"/>
      <c r="BD4" s="181"/>
      <c r="BE4" s="191"/>
      <c r="BF4" s="190" t="s">
        <v>109</v>
      </c>
      <c r="BG4" s="181"/>
      <c r="BH4" s="181"/>
      <c r="BI4" s="191"/>
      <c r="BJ4" s="190" t="s">
        <v>109</v>
      </c>
      <c r="BK4" s="181"/>
      <c r="BL4" s="181"/>
      <c r="BM4" s="191"/>
      <c r="BN4" s="190" t="s">
        <v>109</v>
      </c>
      <c r="BO4" s="181"/>
      <c r="BP4" s="181"/>
      <c r="BQ4" s="191"/>
      <c r="BR4" s="190" t="s">
        <v>109</v>
      </c>
      <c r="BS4" s="181"/>
      <c r="BT4" s="181"/>
      <c r="BU4" s="191"/>
      <c r="BV4" s="190" t="s">
        <v>109</v>
      </c>
      <c r="BW4" s="181"/>
      <c r="BX4" s="181"/>
      <c r="BY4" s="191"/>
      <c r="BZ4" s="190" t="s">
        <v>109</v>
      </c>
      <c r="CA4" s="181"/>
      <c r="CB4" s="181"/>
      <c r="CC4" s="191"/>
      <c r="CD4" s="190" t="s">
        <v>109</v>
      </c>
      <c r="CE4" s="181"/>
      <c r="CF4" s="181"/>
      <c r="CG4" s="191"/>
      <c r="CH4" s="207"/>
      <c r="CI4" s="208"/>
      <c r="CJ4" s="208"/>
      <c r="CK4" s="208"/>
      <c r="CL4" s="208"/>
      <c r="CM4" s="209"/>
      <c r="CN4" s="43"/>
      <c r="CO4" s="44"/>
    </row>
    <row r="5" spans="1:93" ht="13.5" thickBot="1" x14ac:dyDescent="0.25">
      <c r="A5" s="212"/>
      <c r="B5" s="215"/>
      <c r="C5" s="218"/>
      <c r="D5" s="195"/>
      <c r="E5" s="197"/>
      <c r="F5" s="45">
        <v>1</v>
      </c>
      <c r="G5" s="46">
        <v>2</v>
      </c>
      <c r="H5" s="47">
        <v>3</v>
      </c>
      <c r="I5" s="48">
        <v>4</v>
      </c>
      <c r="J5" s="49">
        <v>1</v>
      </c>
      <c r="K5" s="46">
        <v>2</v>
      </c>
      <c r="L5" s="47">
        <v>3</v>
      </c>
      <c r="M5" s="48">
        <v>4</v>
      </c>
      <c r="N5" s="49">
        <v>1</v>
      </c>
      <c r="O5" s="46">
        <v>2</v>
      </c>
      <c r="P5" s="47">
        <v>3</v>
      </c>
      <c r="Q5" s="48">
        <v>4</v>
      </c>
      <c r="R5" s="49">
        <v>1</v>
      </c>
      <c r="S5" s="46">
        <v>2</v>
      </c>
      <c r="T5" s="47">
        <v>3</v>
      </c>
      <c r="U5" s="48">
        <v>4</v>
      </c>
      <c r="V5" s="49">
        <v>1</v>
      </c>
      <c r="W5" s="46">
        <v>2</v>
      </c>
      <c r="X5" s="47">
        <v>3</v>
      </c>
      <c r="Y5" s="48">
        <v>4</v>
      </c>
      <c r="Z5" s="49">
        <v>1</v>
      </c>
      <c r="AA5" s="46">
        <v>2</v>
      </c>
      <c r="AB5" s="47">
        <v>3</v>
      </c>
      <c r="AC5" s="48">
        <v>4</v>
      </c>
      <c r="AD5" s="49">
        <v>1</v>
      </c>
      <c r="AE5" s="46">
        <v>2</v>
      </c>
      <c r="AF5" s="47">
        <v>3</v>
      </c>
      <c r="AG5" s="48">
        <v>4</v>
      </c>
      <c r="AH5" s="148">
        <v>1</v>
      </c>
      <c r="AI5" s="46">
        <v>2</v>
      </c>
      <c r="AJ5" s="47">
        <v>3</v>
      </c>
      <c r="AK5" s="48">
        <v>4</v>
      </c>
      <c r="AL5" s="49">
        <v>1</v>
      </c>
      <c r="AM5" s="46">
        <v>2</v>
      </c>
      <c r="AN5" s="47">
        <v>3</v>
      </c>
      <c r="AO5" s="48">
        <v>4</v>
      </c>
      <c r="AP5" s="49">
        <v>1</v>
      </c>
      <c r="AQ5" s="46">
        <v>2</v>
      </c>
      <c r="AR5" s="47">
        <v>3</v>
      </c>
      <c r="AS5" s="48">
        <v>4</v>
      </c>
      <c r="AT5" s="49">
        <v>1</v>
      </c>
      <c r="AU5" s="46">
        <v>2</v>
      </c>
      <c r="AV5" s="47">
        <v>3</v>
      </c>
      <c r="AW5" s="48">
        <v>4</v>
      </c>
      <c r="AX5" s="49">
        <v>1</v>
      </c>
      <c r="AY5" s="46">
        <v>2</v>
      </c>
      <c r="AZ5" s="47">
        <v>3</v>
      </c>
      <c r="BA5" s="48">
        <v>4</v>
      </c>
      <c r="BB5" s="49">
        <v>1</v>
      </c>
      <c r="BC5" s="46">
        <v>2</v>
      </c>
      <c r="BD5" s="47">
        <v>3</v>
      </c>
      <c r="BE5" s="48">
        <v>4</v>
      </c>
      <c r="BF5" s="49">
        <v>1</v>
      </c>
      <c r="BG5" s="46">
        <v>2</v>
      </c>
      <c r="BH5" s="47">
        <v>3</v>
      </c>
      <c r="BI5" s="48">
        <v>4</v>
      </c>
      <c r="BJ5" s="49">
        <v>1</v>
      </c>
      <c r="BK5" s="46">
        <v>2</v>
      </c>
      <c r="BL5" s="47">
        <v>3</v>
      </c>
      <c r="BM5" s="48">
        <v>4</v>
      </c>
      <c r="BN5" s="49">
        <v>1</v>
      </c>
      <c r="BO5" s="46">
        <v>2</v>
      </c>
      <c r="BP5" s="47">
        <v>3</v>
      </c>
      <c r="BQ5" s="48">
        <v>4</v>
      </c>
      <c r="BR5" s="49">
        <v>1</v>
      </c>
      <c r="BS5" s="46">
        <v>2</v>
      </c>
      <c r="BT5" s="47">
        <v>3</v>
      </c>
      <c r="BU5" s="48">
        <v>4</v>
      </c>
      <c r="BV5" s="49">
        <v>1</v>
      </c>
      <c r="BW5" s="46">
        <v>2</v>
      </c>
      <c r="BX5" s="47">
        <v>3</v>
      </c>
      <c r="BY5" s="48">
        <v>4</v>
      </c>
      <c r="BZ5" s="49">
        <v>1</v>
      </c>
      <c r="CA5" s="46">
        <v>2</v>
      </c>
      <c r="CB5" s="47">
        <v>3</v>
      </c>
      <c r="CC5" s="48">
        <v>4</v>
      </c>
      <c r="CD5" s="49">
        <v>1</v>
      </c>
      <c r="CE5" s="46">
        <v>2</v>
      </c>
      <c r="CF5" s="47">
        <v>3</v>
      </c>
      <c r="CG5" s="48">
        <v>4</v>
      </c>
      <c r="CH5" s="49" t="str">
        <f>ROMAN(1)</f>
        <v>I</v>
      </c>
      <c r="CI5" s="46" t="str">
        <f>ROMAN(2)</f>
        <v>II</v>
      </c>
      <c r="CJ5" s="46" t="str">
        <f>ROMAN(3)</f>
        <v>III</v>
      </c>
      <c r="CK5" s="46" t="str">
        <f>ROMAN(4)</f>
        <v>IV</v>
      </c>
      <c r="CL5" s="46" t="s">
        <v>17</v>
      </c>
      <c r="CM5" s="48" t="s">
        <v>12</v>
      </c>
      <c r="CN5" s="49" t="s">
        <v>110</v>
      </c>
      <c r="CO5" s="50" t="s">
        <v>12</v>
      </c>
    </row>
    <row r="6" spans="1:93" x14ac:dyDescent="0.2">
      <c r="A6" s="69">
        <f>'протокол регистрации'!D5</f>
        <v>39</v>
      </c>
      <c r="B6" s="63" t="str">
        <f>'протокол регистрации'!B5</f>
        <v>Роман</v>
      </c>
      <c r="C6" s="64" t="str">
        <f>'протокол регистрации'!C5</f>
        <v>Румачик</v>
      </c>
      <c r="D6" s="136"/>
      <c r="E6" s="42" t="str">
        <f>IF(D6&gt;0,RANK(D6,$D$6:$D$21),"")</f>
        <v/>
      </c>
      <c r="F6" s="77"/>
      <c r="G6" s="78"/>
      <c r="H6" s="79"/>
      <c r="I6" s="80"/>
      <c r="J6" s="81"/>
      <c r="K6" s="78"/>
      <c r="L6" s="79"/>
      <c r="M6" s="80"/>
      <c r="N6" s="81"/>
      <c r="O6" s="78"/>
      <c r="P6" s="79"/>
      <c r="Q6" s="80"/>
      <c r="R6" s="145"/>
      <c r="S6" s="78"/>
      <c r="T6" s="79"/>
      <c r="U6" s="80"/>
      <c r="V6" s="81"/>
      <c r="W6" s="77"/>
      <c r="X6" s="78"/>
      <c r="Y6" s="80"/>
      <c r="Z6" s="81"/>
      <c r="AA6" s="77"/>
      <c r="AB6" s="78"/>
      <c r="AC6" s="80"/>
      <c r="AD6" s="81"/>
      <c r="AE6" s="77"/>
      <c r="AF6" s="78"/>
      <c r="AG6" s="147"/>
      <c r="AH6" s="81"/>
      <c r="AI6" s="77"/>
      <c r="AJ6" s="78"/>
      <c r="AK6" s="80"/>
      <c r="AL6" s="81"/>
      <c r="AM6" s="77"/>
      <c r="AN6" s="78"/>
      <c r="AO6" s="80"/>
      <c r="AP6" s="81"/>
      <c r="AQ6" s="77"/>
      <c r="AR6" s="78"/>
      <c r="AS6" s="80"/>
      <c r="AT6" s="81"/>
      <c r="AU6" s="77"/>
      <c r="AV6" s="150"/>
      <c r="AW6" s="80"/>
      <c r="AX6" s="81"/>
      <c r="AY6" s="77"/>
      <c r="AZ6" s="78"/>
      <c r="BA6" s="80"/>
      <c r="BB6" s="81"/>
      <c r="BC6" s="77"/>
      <c r="BD6" s="78"/>
      <c r="BE6" s="80"/>
      <c r="BF6" s="81"/>
      <c r="BG6" s="77"/>
      <c r="BH6" s="78"/>
      <c r="BI6" s="80"/>
      <c r="BJ6" s="81"/>
      <c r="BK6" s="77"/>
      <c r="BL6" s="78"/>
      <c r="BM6" s="80"/>
      <c r="BN6" s="81"/>
      <c r="BO6" s="152"/>
      <c r="BP6" s="78"/>
      <c r="BQ6" s="80"/>
      <c r="BR6" s="81"/>
      <c r="BS6" s="77"/>
      <c r="BT6" s="78"/>
      <c r="BU6" s="80"/>
      <c r="BV6" s="81"/>
      <c r="BW6" s="77"/>
      <c r="BX6" s="78"/>
      <c r="BY6" s="80"/>
      <c r="BZ6" s="81"/>
      <c r="CA6" s="77"/>
      <c r="CB6" s="78"/>
      <c r="CC6" s="80"/>
      <c r="CD6" s="145"/>
      <c r="CE6" s="77"/>
      <c r="CF6" s="78"/>
      <c r="CG6" s="79"/>
      <c r="CH6" s="52">
        <f t="shared" ref="CH6:CH21" si="0">COUNTIF(F6:CG6,1)</f>
        <v>0</v>
      </c>
      <c r="CI6" s="32">
        <f t="shared" ref="CI6:CI21" si="1">COUNTIF(F6:CG6,2)</f>
        <v>0</v>
      </c>
      <c r="CJ6" s="32">
        <f t="shared" ref="CJ6:CJ21" si="2">COUNTIF(F6:CG6,3)</f>
        <v>0</v>
      </c>
      <c r="CK6" s="53">
        <f t="shared" ref="CK6:CK21" si="3">COUNTIF(F6:CG6,4)</f>
        <v>0</v>
      </c>
      <c r="CL6" s="41">
        <f>CH6*3+CI6*2+CJ6</f>
        <v>0</v>
      </c>
      <c r="CM6" s="54">
        <v>1</v>
      </c>
      <c r="CN6" s="55"/>
      <c r="CO6" s="54"/>
    </row>
    <row r="7" spans="1:93" x14ac:dyDescent="0.2">
      <c r="A7" s="62">
        <f>'протокол регистрации'!D6</f>
        <v>63</v>
      </c>
      <c r="B7" s="65" t="str">
        <f>'протокол регистрации'!B6</f>
        <v>Антон</v>
      </c>
      <c r="C7" s="66" t="str">
        <f>'протокол регистрации'!C6</f>
        <v>Ильницкий</v>
      </c>
      <c r="D7" s="137"/>
      <c r="E7" s="57" t="str">
        <f t="shared" ref="E7:E21" si="4">IF(D7&gt;0,RANK(D7,$D$6:$D$21),"")</f>
        <v/>
      </c>
      <c r="F7" s="82"/>
      <c r="G7" s="83"/>
      <c r="H7" s="84"/>
      <c r="I7" s="85"/>
      <c r="J7" s="86"/>
      <c r="K7" s="83"/>
      <c r="L7" s="84"/>
      <c r="M7" s="85"/>
      <c r="N7" s="143"/>
      <c r="O7" s="83"/>
      <c r="P7" s="84"/>
      <c r="Q7" s="85"/>
      <c r="R7" s="86"/>
      <c r="S7" s="83"/>
      <c r="T7" s="84"/>
      <c r="U7" s="85"/>
      <c r="V7" s="86"/>
      <c r="W7" s="82"/>
      <c r="X7" s="83"/>
      <c r="Y7" s="85"/>
      <c r="Z7" s="86"/>
      <c r="AA7" s="82"/>
      <c r="AB7" s="83"/>
      <c r="AC7" s="85"/>
      <c r="AD7" s="86"/>
      <c r="AE7" s="82"/>
      <c r="AF7" s="83"/>
      <c r="AG7" s="85"/>
      <c r="AH7" s="86"/>
      <c r="AI7" s="82"/>
      <c r="AJ7" s="83"/>
      <c r="AK7" s="142"/>
      <c r="AL7" s="86"/>
      <c r="AM7" s="82"/>
      <c r="AN7" s="83"/>
      <c r="AO7" s="85"/>
      <c r="AP7" s="86"/>
      <c r="AQ7" s="82"/>
      <c r="AR7" s="83"/>
      <c r="AS7" s="85"/>
      <c r="AT7" s="86"/>
      <c r="AU7" s="82"/>
      <c r="AV7" s="83"/>
      <c r="AW7" s="85"/>
      <c r="AX7" s="86"/>
      <c r="AY7" s="82"/>
      <c r="AZ7" s="132"/>
      <c r="BA7" s="85"/>
      <c r="BB7" s="86"/>
      <c r="BC7" s="82"/>
      <c r="BD7" s="83"/>
      <c r="BE7" s="85"/>
      <c r="BF7" s="86"/>
      <c r="BG7" s="82"/>
      <c r="BH7" s="83"/>
      <c r="BI7" s="85"/>
      <c r="BJ7" s="86"/>
      <c r="BK7" s="140"/>
      <c r="BL7" s="83"/>
      <c r="BM7" s="85"/>
      <c r="BN7" s="86"/>
      <c r="BO7" s="82"/>
      <c r="BP7" s="83"/>
      <c r="BQ7" s="85"/>
      <c r="BR7" s="86"/>
      <c r="BS7" s="82"/>
      <c r="BT7" s="83"/>
      <c r="BU7" s="85"/>
      <c r="BV7" s="86"/>
      <c r="BW7" s="82"/>
      <c r="BX7" s="83"/>
      <c r="BY7" s="85"/>
      <c r="BZ7" s="86"/>
      <c r="CA7" s="82"/>
      <c r="CB7" s="83"/>
      <c r="CC7" s="85"/>
      <c r="CD7" s="86"/>
      <c r="CE7" s="140"/>
      <c r="CF7" s="83"/>
      <c r="CG7" s="84"/>
      <c r="CH7" s="52">
        <f t="shared" si="0"/>
        <v>0</v>
      </c>
      <c r="CI7" s="32">
        <f t="shared" si="1"/>
        <v>0</v>
      </c>
      <c r="CJ7" s="32">
        <f t="shared" si="2"/>
        <v>0</v>
      </c>
      <c r="CK7" s="53">
        <f t="shared" si="3"/>
        <v>0</v>
      </c>
      <c r="CL7" s="32">
        <f t="shared" ref="CL7:CL21" si="5">CH7*3+CI7*2+CJ7</f>
        <v>0</v>
      </c>
      <c r="CM7" s="57">
        <v>2</v>
      </c>
      <c r="CN7" s="56"/>
      <c r="CO7" s="57"/>
    </row>
    <row r="8" spans="1:93" x14ac:dyDescent="0.2">
      <c r="A8" s="62">
        <f>'протокол регистрации'!D7</f>
        <v>3</v>
      </c>
      <c r="B8" s="65" t="str">
        <f>'протокол регистрации'!B7</f>
        <v>Сергей</v>
      </c>
      <c r="C8" s="66" t="str">
        <f>'протокол регистрации'!C7</f>
        <v>Богатырев</v>
      </c>
      <c r="D8" s="137"/>
      <c r="E8" s="57" t="str">
        <f t="shared" si="4"/>
        <v/>
      </c>
      <c r="F8" s="82"/>
      <c r="G8" s="83"/>
      <c r="H8" s="84"/>
      <c r="I8" s="85"/>
      <c r="J8" s="143"/>
      <c r="K8" s="83"/>
      <c r="L8" s="84"/>
      <c r="M8" s="85"/>
      <c r="N8" s="86"/>
      <c r="O8" s="83"/>
      <c r="P8" s="84"/>
      <c r="Q8" s="85"/>
      <c r="R8" s="86"/>
      <c r="S8" s="83"/>
      <c r="T8" s="84"/>
      <c r="U8" s="85"/>
      <c r="V8" s="86"/>
      <c r="W8" s="82"/>
      <c r="X8" s="83"/>
      <c r="Y8" s="85"/>
      <c r="Z8" s="86"/>
      <c r="AA8" s="82"/>
      <c r="AB8" s="83"/>
      <c r="AC8" s="142"/>
      <c r="AD8" s="86"/>
      <c r="AE8" s="82"/>
      <c r="AF8" s="83"/>
      <c r="AG8" s="85"/>
      <c r="AH8" s="86"/>
      <c r="AI8" s="82"/>
      <c r="AJ8" s="83"/>
      <c r="AK8" s="85"/>
      <c r="AL8" s="86"/>
      <c r="AM8" s="82"/>
      <c r="AN8" s="132"/>
      <c r="AO8" s="85"/>
      <c r="AP8" s="86"/>
      <c r="AQ8" s="82"/>
      <c r="AR8" s="83"/>
      <c r="AS8" s="85"/>
      <c r="AT8" s="86"/>
      <c r="AU8" s="82"/>
      <c r="AV8" s="83"/>
      <c r="AW8" s="85"/>
      <c r="AX8" s="86"/>
      <c r="AY8" s="82"/>
      <c r="AZ8" s="83"/>
      <c r="BA8" s="85"/>
      <c r="BB8" s="86"/>
      <c r="BC8" s="82"/>
      <c r="BD8" s="83"/>
      <c r="BE8" s="85"/>
      <c r="BF8" s="86"/>
      <c r="BG8" s="140"/>
      <c r="BH8" s="83"/>
      <c r="BI8" s="85"/>
      <c r="BJ8" s="86"/>
      <c r="BK8" s="82"/>
      <c r="BL8" s="83"/>
      <c r="BM8" s="85"/>
      <c r="BN8" s="86"/>
      <c r="BO8" s="82"/>
      <c r="BP8" s="83"/>
      <c r="BQ8" s="85"/>
      <c r="BR8" s="86"/>
      <c r="BS8" s="82"/>
      <c r="BT8" s="83"/>
      <c r="BU8" s="85"/>
      <c r="BV8" s="86"/>
      <c r="BW8" s="82"/>
      <c r="BX8" s="83"/>
      <c r="BY8" s="85"/>
      <c r="BZ8" s="86"/>
      <c r="CA8" s="82"/>
      <c r="CB8" s="83"/>
      <c r="CC8" s="85"/>
      <c r="CD8" s="86"/>
      <c r="CE8" s="82"/>
      <c r="CF8" s="132"/>
      <c r="CG8" s="84"/>
      <c r="CH8" s="52">
        <f t="shared" si="0"/>
        <v>0</v>
      </c>
      <c r="CI8" s="32">
        <f t="shared" si="1"/>
        <v>0</v>
      </c>
      <c r="CJ8" s="32">
        <f t="shared" si="2"/>
        <v>0</v>
      </c>
      <c r="CK8" s="53">
        <f t="shared" si="3"/>
        <v>0</v>
      </c>
      <c r="CL8" s="32">
        <f t="shared" si="5"/>
        <v>0</v>
      </c>
      <c r="CM8" s="57">
        <v>3</v>
      </c>
      <c r="CN8" s="56"/>
      <c r="CO8" s="57"/>
    </row>
    <row r="9" spans="1:93" ht="13.5" thickBot="1" x14ac:dyDescent="0.25">
      <c r="A9" s="62">
        <f>'протокол регистрации'!D8</f>
        <v>71</v>
      </c>
      <c r="B9" s="65" t="str">
        <f>'протокол регистрации'!B8</f>
        <v>Евгений</v>
      </c>
      <c r="C9" s="66" t="str">
        <f>'протокол регистрации'!C8</f>
        <v>Тыщук</v>
      </c>
      <c r="D9" s="137"/>
      <c r="E9" s="57" t="str">
        <f t="shared" si="4"/>
        <v/>
      </c>
      <c r="F9" s="140"/>
      <c r="G9" s="83"/>
      <c r="H9" s="84"/>
      <c r="I9" s="85"/>
      <c r="J9" s="86"/>
      <c r="K9" s="83"/>
      <c r="L9" s="84"/>
      <c r="M9" s="85"/>
      <c r="N9" s="86"/>
      <c r="O9" s="83"/>
      <c r="P9" s="84"/>
      <c r="Q9" s="85"/>
      <c r="R9" s="86"/>
      <c r="S9" s="83"/>
      <c r="T9" s="84"/>
      <c r="U9" s="85"/>
      <c r="V9" s="86"/>
      <c r="W9" s="82"/>
      <c r="X9" s="83"/>
      <c r="Y9" s="142"/>
      <c r="Z9" s="86"/>
      <c r="AA9" s="82"/>
      <c r="AB9" s="83"/>
      <c r="AC9" s="85"/>
      <c r="AD9" s="86"/>
      <c r="AE9" s="82"/>
      <c r="AF9" s="83"/>
      <c r="AG9" s="85"/>
      <c r="AH9" s="86"/>
      <c r="AI9" s="82"/>
      <c r="AJ9" s="83"/>
      <c r="AK9" s="85"/>
      <c r="AL9" s="86"/>
      <c r="AM9" s="82"/>
      <c r="AN9" s="83"/>
      <c r="AO9" s="85"/>
      <c r="AP9" s="86"/>
      <c r="AQ9" s="82"/>
      <c r="AR9" s="132"/>
      <c r="AS9" s="85"/>
      <c r="AT9" s="86"/>
      <c r="AU9" s="82"/>
      <c r="AV9" s="83"/>
      <c r="AW9" s="85"/>
      <c r="AX9" s="86"/>
      <c r="AY9" s="82"/>
      <c r="AZ9" s="83"/>
      <c r="BA9" s="85"/>
      <c r="BB9" s="86"/>
      <c r="BC9" s="140"/>
      <c r="BD9" s="83"/>
      <c r="BE9" s="85"/>
      <c r="BF9" s="86"/>
      <c r="BG9" s="82"/>
      <c r="BH9" s="83"/>
      <c r="BI9" s="85"/>
      <c r="BJ9" s="86"/>
      <c r="BK9" s="82"/>
      <c r="BL9" s="83"/>
      <c r="BM9" s="85"/>
      <c r="BN9" s="86"/>
      <c r="BO9" s="82"/>
      <c r="BP9" s="83"/>
      <c r="BQ9" s="85"/>
      <c r="BR9" s="86"/>
      <c r="BS9" s="82"/>
      <c r="BT9" s="83"/>
      <c r="BU9" s="85"/>
      <c r="BV9" s="86"/>
      <c r="BW9" s="82"/>
      <c r="BX9" s="83"/>
      <c r="BY9" s="85"/>
      <c r="BZ9" s="86"/>
      <c r="CA9" s="82"/>
      <c r="CB9" s="83"/>
      <c r="CC9" s="85"/>
      <c r="CD9" s="86"/>
      <c r="CE9" s="82"/>
      <c r="CF9" s="83"/>
      <c r="CG9" s="141"/>
      <c r="CH9" s="52">
        <f t="shared" si="0"/>
        <v>0</v>
      </c>
      <c r="CI9" s="32">
        <f t="shared" si="1"/>
        <v>0</v>
      </c>
      <c r="CJ9" s="32">
        <f t="shared" si="2"/>
        <v>0</v>
      </c>
      <c r="CK9" s="53">
        <f t="shared" si="3"/>
        <v>0</v>
      </c>
      <c r="CL9" s="32">
        <f t="shared" si="5"/>
        <v>0</v>
      </c>
      <c r="CM9" s="57">
        <v>4</v>
      </c>
      <c r="CN9" s="49"/>
      <c r="CO9" s="48"/>
    </row>
    <row r="10" spans="1:93" x14ac:dyDescent="0.2">
      <c r="A10" s="62">
        <f>'протокол регистрации'!D9</f>
        <v>50</v>
      </c>
      <c r="B10" s="65" t="str">
        <f>'протокол регистрации'!B9</f>
        <v>Антон</v>
      </c>
      <c r="C10" s="66" t="str">
        <f>'протокол регистрации'!C9</f>
        <v>Тихонов</v>
      </c>
      <c r="D10" s="137"/>
      <c r="E10" s="57" t="str">
        <f t="shared" si="4"/>
        <v/>
      </c>
      <c r="F10" s="82"/>
      <c r="G10" s="132"/>
      <c r="H10" s="84"/>
      <c r="I10" s="85"/>
      <c r="J10" s="86"/>
      <c r="K10" s="83"/>
      <c r="L10" s="84"/>
      <c r="M10" s="85"/>
      <c r="N10" s="86"/>
      <c r="O10" s="83"/>
      <c r="P10" s="84"/>
      <c r="Q10" s="85"/>
      <c r="R10" s="86"/>
      <c r="S10" s="83"/>
      <c r="T10" s="84"/>
      <c r="U10" s="85"/>
      <c r="V10" s="86"/>
      <c r="W10" s="82"/>
      <c r="X10" s="83"/>
      <c r="Y10" s="85"/>
      <c r="Z10" s="143"/>
      <c r="AA10" s="82"/>
      <c r="AB10" s="83"/>
      <c r="AC10" s="85"/>
      <c r="AD10" s="86"/>
      <c r="AE10" s="82"/>
      <c r="AF10" s="83"/>
      <c r="AG10" s="85"/>
      <c r="AH10" s="86"/>
      <c r="AI10" s="82"/>
      <c r="AJ10" s="83"/>
      <c r="AK10" s="85"/>
      <c r="AL10" s="86"/>
      <c r="AM10" s="82"/>
      <c r="AN10" s="83"/>
      <c r="AO10" s="85"/>
      <c r="AP10" s="86"/>
      <c r="AQ10" s="82"/>
      <c r="AR10" s="83"/>
      <c r="AS10" s="85"/>
      <c r="AT10" s="86"/>
      <c r="AU10" s="82"/>
      <c r="AV10" s="83"/>
      <c r="AW10" s="85"/>
      <c r="AX10" s="86"/>
      <c r="AY10" s="82"/>
      <c r="AZ10" s="83"/>
      <c r="BA10" s="142"/>
      <c r="BB10" s="86"/>
      <c r="BC10" s="82"/>
      <c r="BD10" s="83"/>
      <c r="BE10" s="85"/>
      <c r="BF10" s="86"/>
      <c r="BG10" s="82"/>
      <c r="BH10" s="83"/>
      <c r="BI10" s="85"/>
      <c r="BJ10" s="86"/>
      <c r="BK10" s="82"/>
      <c r="BL10" s="83"/>
      <c r="BM10" s="85"/>
      <c r="BN10" s="86"/>
      <c r="BO10" s="82"/>
      <c r="BP10" s="132"/>
      <c r="BQ10" s="85"/>
      <c r="BR10" s="86"/>
      <c r="BS10" s="82"/>
      <c r="BT10" s="83"/>
      <c r="BU10" s="85"/>
      <c r="BV10" s="86"/>
      <c r="BW10" s="82"/>
      <c r="BX10" s="83"/>
      <c r="BY10" s="85"/>
      <c r="BZ10" s="143"/>
      <c r="CA10" s="82"/>
      <c r="CB10" s="83"/>
      <c r="CC10" s="85"/>
      <c r="CD10" s="86"/>
      <c r="CE10" s="82"/>
      <c r="CF10" s="83"/>
      <c r="CG10" s="84"/>
      <c r="CH10" s="52">
        <f t="shared" si="0"/>
        <v>0</v>
      </c>
      <c r="CI10" s="32">
        <f t="shared" si="1"/>
        <v>0</v>
      </c>
      <c r="CJ10" s="32">
        <f t="shared" si="2"/>
        <v>0</v>
      </c>
      <c r="CK10" s="53">
        <f t="shared" si="3"/>
        <v>0</v>
      </c>
      <c r="CL10" s="32">
        <f t="shared" si="5"/>
        <v>0</v>
      </c>
      <c r="CM10" s="57">
        <v>5</v>
      </c>
      <c r="CN10" s="58"/>
      <c r="CO10" s="58"/>
    </row>
    <row r="11" spans="1:93" x14ac:dyDescent="0.2">
      <c r="A11" s="62">
        <f>'протокол регистрации'!D10</f>
        <v>7</v>
      </c>
      <c r="B11" s="65" t="str">
        <f>'протокол регистрации'!B10</f>
        <v>Дмитрий</v>
      </c>
      <c r="C11" s="66" t="str">
        <f>'протокол регистрации'!C10</f>
        <v>Ходий</v>
      </c>
      <c r="D11" s="137"/>
      <c r="E11" s="54" t="str">
        <f t="shared" si="4"/>
        <v/>
      </c>
      <c r="F11" s="82"/>
      <c r="G11" s="83"/>
      <c r="H11" s="84"/>
      <c r="I11" s="85"/>
      <c r="J11" s="86"/>
      <c r="K11" s="132"/>
      <c r="L11" s="84"/>
      <c r="M11" s="85"/>
      <c r="N11" s="86"/>
      <c r="O11" s="83"/>
      <c r="P11" s="84"/>
      <c r="Q11" s="85"/>
      <c r="R11" s="86"/>
      <c r="S11" s="83"/>
      <c r="T11" s="84"/>
      <c r="U11" s="85"/>
      <c r="V11" s="143"/>
      <c r="W11" s="82"/>
      <c r="X11" s="83"/>
      <c r="Y11" s="85"/>
      <c r="Z11" s="86"/>
      <c r="AA11" s="82"/>
      <c r="AB11" s="83"/>
      <c r="AC11" s="85"/>
      <c r="AD11" s="86"/>
      <c r="AE11" s="82"/>
      <c r="AF11" s="83"/>
      <c r="AG11" s="85"/>
      <c r="AH11" s="86"/>
      <c r="AI11" s="82"/>
      <c r="AJ11" s="83"/>
      <c r="AK11" s="85"/>
      <c r="AL11" s="86"/>
      <c r="AM11" s="82"/>
      <c r="AN11" s="83"/>
      <c r="AO11" s="85"/>
      <c r="AP11" s="86"/>
      <c r="AQ11" s="82"/>
      <c r="AR11" s="83"/>
      <c r="AS11" s="85"/>
      <c r="AT11" s="86"/>
      <c r="AU11" s="82"/>
      <c r="AV11" s="83"/>
      <c r="AW11" s="142"/>
      <c r="AX11" s="86"/>
      <c r="AY11" s="82"/>
      <c r="AZ11" s="83"/>
      <c r="BA11" s="85"/>
      <c r="BB11" s="86"/>
      <c r="BC11" s="82"/>
      <c r="BD11" s="83"/>
      <c r="BE11" s="85"/>
      <c r="BF11" s="86"/>
      <c r="BG11" s="82"/>
      <c r="BH11" s="83"/>
      <c r="BI11" s="85"/>
      <c r="BJ11" s="86"/>
      <c r="BK11" s="82"/>
      <c r="BL11" s="132"/>
      <c r="BM11" s="85"/>
      <c r="BN11" s="86"/>
      <c r="BO11" s="82"/>
      <c r="BP11" s="83"/>
      <c r="BQ11" s="85"/>
      <c r="BR11" s="86"/>
      <c r="BS11" s="82"/>
      <c r="BT11" s="83"/>
      <c r="BU11" s="85"/>
      <c r="BV11" s="86"/>
      <c r="BW11" s="82"/>
      <c r="BX11" s="83"/>
      <c r="BY11" s="85"/>
      <c r="BZ11" s="86"/>
      <c r="CA11" s="140"/>
      <c r="CB11" s="83"/>
      <c r="CC11" s="85"/>
      <c r="CD11" s="86"/>
      <c r="CE11" s="82"/>
      <c r="CF11" s="83"/>
      <c r="CG11" s="84"/>
      <c r="CH11" s="52">
        <f t="shared" si="0"/>
        <v>0</v>
      </c>
      <c r="CI11" s="32">
        <f t="shared" si="1"/>
        <v>0</v>
      </c>
      <c r="CJ11" s="32">
        <f t="shared" si="2"/>
        <v>0</v>
      </c>
      <c r="CK11" s="53">
        <f t="shared" si="3"/>
        <v>0</v>
      </c>
      <c r="CL11" s="32">
        <f t="shared" si="5"/>
        <v>0</v>
      </c>
      <c r="CM11" s="57">
        <v>6</v>
      </c>
      <c r="CN11" s="58"/>
      <c r="CO11" s="58"/>
    </row>
    <row r="12" spans="1:93" x14ac:dyDescent="0.2">
      <c r="A12" s="62">
        <f>'протокол регистрации'!D11</f>
        <v>15</v>
      </c>
      <c r="B12" s="65" t="str">
        <f>'протокол регистрации'!B11</f>
        <v>Алексей</v>
      </c>
      <c r="C12" s="66" t="str">
        <f>'протокол регистрации'!C11</f>
        <v>Алдабаев</v>
      </c>
      <c r="D12" s="137"/>
      <c r="E12" s="54" t="str">
        <f t="shared" si="4"/>
        <v/>
      </c>
      <c r="F12" s="82"/>
      <c r="G12" s="83"/>
      <c r="H12" s="84"/>
      <c r="I12" s="85"/>
      <c r="J12" s="86"/>
      <c r="K12" s="83"/>
      <c r="L12" s="84"/>
      <c r="M12" s="85"/>
      <c r="N12" s="86"/>
      <c r="O12" s="132"/>
      <c r="P12" s="84"/>
      <c r="Q12" s="85"/>
      <c r="R12" s="86"/>
      <c r="S12" s="83"/>
      <c r="T12" s="84"/>
      <c r="U12" s="85"/>
      <c r="V12" s="86"/>
      <c r="W12" s="82"/>
      <c r="X12" s="83"/>
      <c r="Y12" s="85"/>
      <c r="Z12" s="86"/>
      <c r="AA12" s="82"/>
      <c r="AB12" s="83"/>
      <c r="AC12" s="85"/>
      <c r="AD12" s="143"/>
      <c r="AE12" s="82"/>
      <c r="AF12" s="83"/>
      <c r="AG12" s="85"/>
      <c r="AH12" s="86"/>
      <c r="AI12" s="82"/>
      <c r="AJ12" s="83"/>
      <c r="AK12" s="85"/>
      <c r="AL12" s="86"/>
      <c r="AM12" s="82"/>
      <c r="AN12" s="83"/>
      <c r="AO12" s="85"/>
      <c r="AP12" s="86"/>
      <c r="AQ12" s="82"/>
      <c r="AR12" s="83"/>
      <c r="AS12" s="142"/>
      <c r="AT12" s="86"/>
      <c r="AU12" s="82"/>
      <c r="AV12" s="83"/>
      <c r="AW12" s="85"/>
      <c r="AX12" s="86"/>
      <c r="AY12" s="82"/>
      <c r="AZ12" s="83"/>
      <c r="BA12" s="85"/>
      <c r="BB12" s="86"/>
      <c r="BC12" s="82"/>
      <c r="BD12" s="83"/>
      <c r="BE12" s="85"/>
      <c r="BF12" s="86"/>
      <c r="BG12" s="82"/>
      <c r="BH12" s="132"/>
      <c r="BI12" s="85"/>
      <c r="BJ12" s="86"/>
      <c r="BK12" s="82"/>
      <c r="BL12" s="83"/>
      <c r="BM12" s="85"/>
      <c r="BN12" s="86"/>
      <c r="BO12" s="82"/>
      <c r="BP12" s="83"/>
      <c r="BQ12" s="85"/>
      <c r="BR12" s="86"/>
      <c r="BS12" s="82"/>
      <c r="BT12" s="83"/>
      <c r="BU12" s="85"/>
      <c r="BV12" s="86"/>
      <c r="BW12" s="82"/>
      <c r="BX12" s="83"/>
      <c r="BY12" s="85"/>
      <c r="BZ12" s="86"/>
      <c r="CA12" s="82"/>
      <c r="CB12" s="132"/>
      <c r="CC12" s="85"/>
      <c r="CD12" s="86"/>
      <c r="CE12" s="82"/>
      <c r="CF12" s="83"/>
      <c r="CG12" s="84"/>
      <c r="CH12" s="52">
        <f t="shared" si="0"/>
        <v>0</v>
      </c>
      <c r="CI12" s="32">
        <f t="shared" si="1"/>
        <v>0</v>
      </c>
      <c r="CJ12" s="32">
        <f t="shared" si="2"/>
        <v>0</v>
      </c>
      <c r="CK12" s="53">
        <f t="shared" si="3"/>
        <v>0</v>
      </c>
      <c r="CL12" s="32">
        <f t="shared" si="5"/>
        <v>0</v>
      </c>
      <c r="CM12" s="57">
        <v>7</v>
      </c>
      <c r="CN12" s="58"/>
      <c r="CO12" s="58"/>
    </row>
    <row r="13" spans="1:93" x14ac:dyDescent="0.2">
      <c r="A13" s="62">
        <f>'протокол регистрации'!D12</f>
        <v>73</v>
      </c>
      <c r="B13" s="65" t="str">
        <f>'протокол регистрации'!B12</f>
        <v>Андрей</v>
      </c>
      <c r="C13" s="66" t="str">
        <f>'протокол регистрации'!C12</f>
        <v>Пугачев</v>
      </c>
      <c r="D13" s="137"/>
      <c r="E13" s="54" t="str">
        <f t="shared" si="4"/>
        <v/>
      </c>
      <c r="F13" s="82"/>
      <c r="G13" s="83"/>
      <c r="H13" s="84"/>
      <c r="I13" s="85"/>
      <c r="J13" s="86"/>
      <c r="K13" s="83"/>
      <c r="L13" s="84"/>
      <c r="M13" s="85"/>
      <c r="N13" s="86"/>
      <c r="O13" s="83"/>
      <c r="P13" s="84"/>
      <c r="Q13" s="85"/>
      <c r="R13" s="86"/>
      <c r="S13" s="132"/>
      <c r="T13" s="84"/>
      <c r="U13" s="85"/>
      <c r="V13" s="86"/>
      <c r="W13" s="82"/>
      <c r="X13" s="83"/>
      <c r="Y13" s="85"/>
      <c r="Z13" s="86"/>
      <c r="AA13" s="82"/>
      <c r="AB13" s="83"/>
      <c r="AC13" s="85"/>
      <c r="AD13" s="86"/>
      <c r="AE13" s="82"/>
      <c r="AF13" s="83"/>
      <c r="AG13" s="85"/>
      <c r="AH13" s="143"/>
      <c r="AI13" s="82"/>
      <c r="AJ13" s="83"/>
      <c r="AK13" s="85"/>
      <c r="AL13" s="86"/>
      <c r="AM13" s="82"/>
      <c r="AN13" s="83"/>
      <c r="AO13" s="142"/>
      <c r="AP13" s="86"/>
      <c r="AQ13" s="82"/>
      <c r="AR13" s="83"/>
      <c r="AS13" s="85"/>
      <c r="AT13" s="86"/>
      <c r="AU13" s="82"/>
      <c r="AV13" s="83"/>
      <c r="AW13" s="85"/>
      <c r="AX13" s="86"/>
      <c r="AY13" s="82"/>
      <c r="AZ13" s="83"/>
      <c r="BA13" s="85"/>
      <c r="BB13" s="86"/>
      <c r="BC13" s="82"/>
      <c r="BD13" s="132"/>
      <c r="BE13" s="85"/>
      <c r="BF13" s="86"/>
      <c r="BG13" s="82"/>
      <c r="BH13" s="83"/>
      <c r="BI13" s="85"/>
      <c r="BJ13" s="86"/>
      <c r="BK13" s="82"/>
      <c r="BL13" s="83"/>
      <c r="BM13" s="85"/>
      <c r="BN13" s="86"/>
      <c r="BO13" s="82"/>
      <c r="BP13" s="83"/>
      <c r="BQ13" s="85"/>
      <c r="BR13" s="86"/>
      <c r="BS13" s="82"/>
      <c r="BT13" s="83"/>
      <c r="BU13" s="85"/>
      <c r="BV13" s="86"/>
      <c r="BW13" s="82"/>
      <c r="BX13" s="83"/>
      <c r="BY13" s="85"/>
      <c r="BZ13" s="86"/>
      <c r="CA13" s="82"/>
      <c r="CB13" s="83"/>
      <c r="CC13" s="142"/>
      <c r="CD13" s="86"/>
      <c r="CE13" s="82"/>
      <c r="CF13" s="83"/>
      <c r="CG13" s="84"/>
      <c r="CH13" s="52">
        <f t="shared" si="0"/>
        <v>0</v>
      </c>
      <c r="CI13" s="32">
        <f t="shared" si="1"/>
        <v>0</v>
      </c>
      <c r="CJ13" s="32">
        <f t="shared" si="2"/>
        <v>0</v>
      </c>
      <c r="CK13" s="53">
        <f t="shared" si="3"/>
        <v>0</v>
      </c>
      <c r="CL13" s="32">
        <f t="shared" si="5"/>
        <v>0</v>
      </c>
      <c r="CM13" s="57">
        <v>8</v>
      </c>
      <c r="CN13" s="58"/>
      <c r="CO13" s="58"/>
    </row>
    <row r="14" spans="1:93" x14ac:dyDescent="0.2">
      <c r="A14" s="62">
        <f>'протокол регистрации'!D13</f>
        <v>77</v>
      </c>
      <c r="B14" s="65" t="str">
        <f>'протокол регистрации'!B13</f>
        <v>Алексей</v>
      </c>
      <c r="C14" s="66" t="str">
        <f>'протокол регистрации'!C13</f>
        <v>Саенков</v>
      </c>
      <c r="D14" s="137"/>
      <c r="E14" s="54" t="str">
        <f t="shared" si="4"/>
        <v/>
      </c>
      <c r="F14" s="82"/>
      <c r="G14" s="83"/>
      <c r="H14" s="84"/>
      <c r="I14" s="85"/>
      <c r="J14" s="86"/>
      <c r="K14" s="83"/>
      <c r="L14" s="84"/>
      <c r="M14" s="85"/>
      <c r="N14" s="86"/>
      <c r="O14" s="83"/>
      <c r="P14" s="141"/>
      <c r="Q14" s="85"/>
      <c r="R14" s="86"/>
      <c r="S14" s="83"/>
      <c r="T14" s="84"/>
      <c r="U14" s="85"/>
      <c r="V14" s="86"/>
      <c r="W14" s="140"/>
      <c r="X14" s="83"/>
      <c r="Y14" s="85"/>
      <c r="Z14" s="86"/>
      <c r="AA14" s="82"/>
      <c r="AB14" s="83"/>
      <c r="AC14" s="85"/>
      <c r="AD14" s="86"/>
      <c r="AE14" s="82"/>
      <c r="AF14" s="83"/>
      <c r="AG14" s="85"/>
      <c r="AH14" s="86"/>
      <c r="AI14" s="82"/>
      <c r="AJ14" s="83"/>
      <c r="AK14" s="85"/>
      <c r="AL14" s="143"/>
      <c r="AM14" s="82"/>
      <c r="AN14" s="83"/>
      <c r="AO14" s="85"/>
      <c r="AP14" s="86"/>
      <c r="AQ14" s="82"/>
      <c r="AR14" s="83"/>
      <c r="AS14" s="85"/>
      <c r="AT14" s="86"/>
      <c r="AU14" s="82"/>
      <c r="AV14" s="83"/>
      <c r="AW14" s="85"/>
      <c r="AX14" s="86"/>
      <c r="AY14" s="82"/>
      <c r="AZ14" s="83"/>
      <c r="BA14" s="85"/>
      <c r="BB14" s="86"/>
      <c r="BC14" s="82"/>
      <c r="BD14" s="83"/>
      <c r="BE14" s="85"/>
      <c r="BF14" s="86"/>
      <c r="BG14" s="82"/>
      <c r="BH14" s="83"/>
      <c r="BI14" s="85"/>
      <c r="BJ14" s="86"/>
      <c r="BK14" s="82"/>
      <c r="BL14" s="83"/>
      <c r="BM14" s="85"/>
      <c r="BN14" s="86"/>
      <c r="BO14" s="82"/>
      <c r="BP14" s="83"/>
      <c r="BQ14" s="142"/>
      <c r="BR14" s="86"/>
      <c r="BS14" s="82"/>
      <c r="BT14" s="83"/>
      <c r="BU14" s="85"/>
      <c r="BV14" s="143"/>
      <c r="BW14" s="82"/>
      <c r="BX14" s="83"/>
      <c r="BY14" s="85"/>
      <c r="BZ14" s="86"/>
      <c r="CA14" s="82"/>
      <c r="CB14" s="83"/>
      <c r="CC14" s="85"/>
      <c r="CD14" s="86"/>
      <c r="CE14" s="82"/>
      <c r="CF14" s="83"/>
      <c r="CG14" s="84"/>
      <c r="CH14" s="52">
        <f t="shared" si="0"/>
        <v>0</v>
      </c>
      <c r="CI14" s="32">
        <f t="shared" si="1"/>
        <v>0</v>
      </c>
      <c r="CJ14" s="32">
        <f t="shared" si="2"/>
        <v>0</v>
      </c>
      <c r="CK14" s="53">
        <f t="shared" si="3"/>
        <v>0</v>
      </c>
      <c r="CL14" s="32">
        <f t="shared" si="5"/>
        <v>0</v>
      </c>
      <c r="CM14" s="57">
        <v>9</v>
      </c>
      <c r="CN14" s="58"/>
      <c r="CO14" s="58"/>
    </row>
    <row r="15" spans="1:93" x14ac:dyDescent="0.2">
      <c r="A15" s="62">
        <f>'протокол регистрации'!D14</f>
        <v>88</v>
      </c>
      <c r="B15" s="65" t="str">
        <f>'протокол регистрации'!B14</f>
        <v>Георгий</v>
      </c>
      <c r="C15" s="66" t="str">
        <f>'протокол регистрации'!C14</f>
        <v>Шмидт</v>
      </c>
      <c r="D15" s="137"/>
      <c r="E15" s="54" t="str">
        <f t="shared" si="4"/>
        <v/>
      </c>
      <c r="F15" s="82"/>
      <c r="G15" s="83"/>
      <c r="H15" s="84"/>
      <c r="I15" s="85"/>
      <c r="J15" s="86"/>
      <c r="K15" s="83"/>
      <c r="L15" s="84"/>
      <c r="M15" s="85"/>
      <c r="N15" s="86"/>
      <c r="O15" s="83"/>
      <c r="P15" s="84"/>
      <c r="Q15" s="85"/>
      <c r="R15" s="86"/>
      <c r="S15" s="83"/>
      <c r="T15" s="141"/>
      <c r="U15" s="85"/>
      <c r="V15" s="86"/>
      <c r="W15" s="82"/>
      <c r="X15" s="83"/>
      <c r="Y15" s="85"/>
      <c r="Z15" s="86"/>
      <c r="AA15" s="140"/>
      <c r="AB15" s="83"/>
      <c r="AC15" s="85"/>
      <c r="AD15" s="86"/>
      <c r="AE15" s="82"/>
      <c r="AF15" s="83"/>
      <c r="AG15" s="85"/>
      <c r="AH15" s="86"/>
      <c r="AI15" s="82"/>
      <c r="AJ15" s="83"/>
      <c r="AK15" s="85"/>
      <c r="AL15" s="86"/>
      <c r="AM15" s="82"/>
      <c r="AN15" s="83"/>
      <c r="AO15" s="85"/>
      <c r="AP15" s="143"/>
      <c r="AQ15" s="82"/>
      <c r="AR15" s="83"/>
      <c r="AS15" s="85"/>
      <c r="AT15" s="86"/>
      <c r="AU15" s="82"/>
      <c r="AV15" s="83"/>
      <c r="AW15" s="85"/>
      <c r="AX15" s="86"/>
      <c r="AY15" s="82"/>
      <c r="AZ15" s="83"/>
      <c r="BA15" s="85"/>
      <c r="BB15" s="86"/>
      <c r="BC15" s="82"/>
      <c r="BD15" s="83"/>
      <c r="BE15" s="85"/>
      <c r="BF15" s="86"/>
      <c r="BG15" s="82"/>
      <c r="BH15" s="83"/>
      <c r="BI15" s="85"/>
      <c r="BJ15" s="86"/>
      <c r="BK15" s="82"/>
      <c r="BL15" s="83"/>
      <c r="BM15" s="142"/>
      <c r="BN15" s="86"/>
      <c r="BO15" s="82"/>
      <c r="BP15" s="83"/>
      <c r="BQ15" s="85"/>
      <c r="BR15" s="86"/>
      <c r="BS15" s="82"/>
      <c r="BT15" s="83"/>
      <c r="BU15" s="85"/>
      <c r="BV15" s="86"/>
      <c r="BW15" s="140"/>
      <c r="BX15" s="83"/>
      <c r="BY15" s="85"/>
      <c r="BZ15" s="86"/>
      <c r="CA15" s="82"/>
      <c r="CB15" s="83"/>
      <c r="CC15" s="85"/>
      <c r="CD15" s="86"/>
      <c r="CE15" s="82"/>
      <c r="CF15" s="83"/>
      <c r="CG15" s="84"/>
      <c r="CH15" s="52">
        <f t="shared" si="0"/>
        <v>0</v>
      </c>
      <c r="CI15" s="32">
        <f t="shared" si="1"/>
        <v>0</v>
      </c>
      <c r="CJ15" s="32">
        <f t="shared" si="2"/>
        <v>0</v>
      </c>
      <c r="CK15" s="53">
        <f t="shared" si="3"/>
        <v>0</v>
      </c>
      <c r="CL15" s="32">
        <f t="shared" si="5"/>
        <v>0</v>
      </c>
      <c r="CM15" s="57">
        <v>10</v>
      </c>
      <c r="CN15" s="58"/>
      <c r="CO15" s="58"/>
    </row>
    <row r="16" spans="1:93" x14ac:dyDescent="0.2">
      <c r="A16" s="62">
        <f>'протокол регистрации'!D15</f>
        <v>0</v>
      </c>
      <c r="B16" s="65" t="str">
        <f>'протокол регистрации'!B15</f>
        <v/>
      </c>
      <c r="C16" s="66" t="str">
        <f>'протокол регистрации'!C15</f>
        <v/>
      </c>
      <c r="D16" s="137"/>
      <c r="E16" s="54" t="str">
        <f t="shared" si="4"/>
        <v/>
      </c>
      <c r="F16" s="82"/>
      <c r="G16" s="83"/>
      <c r="H16" s="141"/>
      <c r="I16" s="85"/>
      <c r="J16" s="86"/>
      <c r="K16" s="83"/>
      <c r="L16" s="84"/>
      <c r="M16" s="85"/>
      <c r="N16" s="86"/>
      <c r="O16" s="83"/>
      <c r="P16" s="84"/>
      <c r="Q16" s="85"/>
      <c r="R16" s="86"/>
      <c r="S16" s="83"/>
      <c r="T16" s="84"/>
      <c r="U16" s="85"/>
      <c r="V16" s="86"/>
      <c r="W16" s="82"/>
      <c r="X16" s="83"/>
      <c r="Y16" s="85"/>
      <c r="Z16" s="86"/>
      <c r="AA16" s="82"/>
      <c r="AB16" s="83"/>
      <c r="AC16" s="85"/>
      <c r="AD16" s="86"/>
      <c r="AE16" s="82"/>
      <c r="AF16" s="83"/>
      <c r="AG16" s="85"/>
      <c r="AH16" s="86"/>
      <c r="AI16" s="140"/>
      <c r="AJ16" s="83"/>
      <c r="AK16" s="85"/>
      <c r="AL16" s="86"/>
      <c r="AM16" s="82"/>
      <c r="AN16" s="83"/>
      <c r="AO16" s="85"/>
      <c r="AP16" s="86"/>
      <c r="AQ16" s="82"/>
      <c r="AR16" s="83"/>
      <c r="AS16" s="85"/>
      <c r="AT16" s="143"/>
      <c r="AU16" s="82"/>
      <c r="AV16" s="83"/>
      <c r="AW16" s="85"/>
      <c r="AX16" s="86"/>
      <c r="AY16" s="82"/>
      <c r="AZ16" s="83"/>
      <c r="BA16" s="85"/>
      <c r="BB16" s="86"/>
      <c r="BC16" s="82"/>
      <c r="BD16" s="83"/>
      <c r="BE16" s="85"/>
      <c r="BF16" s="86"/>
      <c r="BG16" s="82"/>
      <c r="BH16" s="83"/>
      <c r="BI16" s="142"/>
      <c r="BJ16" s="86"/>
      <c r="BK16" s="82"/>
      <c r="BL16" s="83"/>
      <c r="BM16" s="85"/>
      <c r="BN16" s="86"/>
      <c r="BO16" s="82"/>
      <c r="BP16" s="83"/>
      <c r="BQ16" s="85"/>
      <c r="BR16" s="86"/>
      <c r="BS16" s="82"/>
      <c r="BT16" s="83"/>
      <c r="BU16" s="85"/>
      <c r="BV16" s="86"/>
      <c r="BW16" s="82"/>
      <c r="BX16" s="132"/>
      <c r="BY16" s="85"/>
      <c r="BZ16" s="86"/>
      <c r="CA16" s="82"/>
      <c r="CB16" s="83"/>
      <c r="CC16" s="85"/>
      <c r="CD16" s="86"/>
      <c r="CE16" s="82"/>
      <c r="CF16" s="83"/>
      <c r="CG16" s="84"/>
      <c r="CH16" s="52">
        <f t="shared" si="0"/>
        <v>0</v>
      </c>
      <c r="CI16" s="32">
        <f t="shared" si="1"/>
        <v>0</v>
      </c>
      <c r="CJ16" s="32">
        <f t="shared" si="2"/>
        <v>0</v>
      </c>
      <c r="CK16" s="53">
        <f t="shared" si="3"/>
        <v>0</v>
      </c>
      <c r="CL16" s="32">
        <f t="shared" si="5"/>
        <v>0</v>
      </c>
      <c r="CM16" s="57">
        <v>11</v>
      </c>
      <c r="CN16" s="58"/>
      <c r="CO16" s="58"/>
    </row>
    <row r="17" spans="1:93" x14ac:dyDescent="0.2">
      <c r="A17" s="62">
        <f>'протокол регистрации'!D16</f>
        <v>0</v>
      </c>
      <c r="B17" s="65" t="str">
        <f>'протокол регистрации'!B16</f>
        <v/>
      </c>
      <c r="C17" s="66" t="str">
        <f>'протокол регистрации'!C16</f>
        <v/>
      </c>
      <c r="D17" s="137"/>
      <c r="E17" s="54" t="str">
        <f t="shared" si="4"/>
        <v/>
      </c>
      <c r="F17" s="82"/>
      <c r="G17" s="83"/>
      <c r="H17" s="84"/>
      <c r="I17" s="85"/>
      <c r="J17" s="86"/>
      <c r="K17" s="83"/>
      <c r="L17" s="141"/>
      <c r="M17" s="85"/>
      <c r="N17" s="86"/>
      <c r="O17" s="83"/>
      <c r="P17" s="84"/>
      <c r="Q17" s="85"/>
      <c r="R17" s="86"/>
      <c r="S17" s="83"/>
      <c r="T17" s="84"/>
      <c r="U17" s="85"/>
      <c r="V17" s="86"/>
      <c r="W17" s="82"/>
      <c r="X17" s="83"/>
      <c r="Y17" s="85"/>
      <c r="Z17" s="86"/>
      <c r="AA17" s="82"/>
      <c r="AB17" s="83"/>
      <c r="AC17" s="85"/>
      <c r="AD17" s="86"/>
      <c r="AE17" s="140"/>
      <c r="AF17" s="83"/>
      <c r="AG17" s="85"/>
      <c r="AH17" s="86"/>
      <c r="AI17" s="82"/>
      <c r="AJ17" s="83"/>
      <c r="AK17" s="85"/>
      <c r="AL17" s="86"/>
      <c r="AM17" s="82"/>
      <c r="AN17" s="83"/>
      <c r="AO17" s="85"/>
      <c r="AP17" s="86"/>
      <c r="AQ17" s="82"/>
      <c r="AR17" s="83"/>
      <c r="AS17" s="85"/>
      <c r="AT17" s="86"/>
      <c r="AU17" s="82"/>
      <c r="AV17" s="83"/>
      <c r="AW17" s="85"/>
      <c r="AX17" s="143"/>
      <c r="AY17" s="82"/>
      <c r="AZ17" s="83"/>
      <c r="BA17" s="85"/>
      <c r="BB17" s="86"/>
      <c r="BC17" s="82"/>
      <c r="BD17" s="83"/>
      <c r="BE17" s="142"/>
      <c r="BF17" s="86"/>
      <c r="BG17" s="82"/>
      <c r="BH17" s="83"/>
      <c r="BI17" s="85"/>
      <c r="BJ17" s="86"/>
      <c r="BK17" s="82"/>
      <c r="BL17" s="83"/>
      <c r="BM17" s="85"/>
      <c r="BN17" s="86"/>
      <c r="BO17" s="82"/>
      <c r="BP17" s="83"/>
      <c r="BQ17" s="85"/>
      <c r="BR17" s="86"/>
      <c r="BS17" s="82"/>
      <c r="BT17" s="83"/>
      <c r="BU17" s="85"/>
      <c r="BV17" s="86"/>
      <c r="BW17" s="82"/>
      <c r="BX17" s="83"/>
      <c r="BY17" s="142"/>
      <c r="BZ17" s="86"/>
      <c r="CA17" s="82"/>
      <c r="CB17" s="83"/>
      <c r="CC17" s="85"/>
      <c r="CD17" s="86"/>
      <c r="CE17" s="82"/>
      <c r="CF17" s="83"/>
      <c r="CG17" s="84"/>
      <c r="CH17" s="52">
        <f t="shared" si="0"/>
        <v>0</v>
      </c>
      <c r="CI17" s="32">
        <f t="shared" si="1"/>
        <v>0</v>
      </c>
      <c r="CJ17" s="32">
        <f t="shared" si="2"/>
        <v>0</v>
      </c>
      <c r="CK17" s="53">
        <f t="shared" si="3"/>
        <v>0</v>
      </c>
      <c r="CL17" s="32">
        <f t="shared" si="5"/>
        <v>0</v>
      </c>
      <c r="CM17" s="57">
        <v>12</v>
      </c>
      <c r="CN17" s="58"/>
      <c r="CO17" s="58"/>
    </row>
    <row r="18" spans="1:93" x14ac:dyDescent="0.2">
      <c r="A18" s="62">
        <f>'протокол регистрации'!D17</f>
        <v>0</v>
      </c>
      <c r="B18" s="65" t="str">
        <f>'протокол регистрации'!B17</f>
        <v/>
      </c>
      <c r="C18" s="66" t="str">
        <f>'протокол регистрации'!C17</f>
        <v/>
      </c>
      <c r="D18" s="138"/>
      <c r="E18" s="54" t="str">
        <f t="shared" si="4"/>
        <v/>
      </c>
      <c r="F18" s="82"/>
      <c r="G18" s="83"/>
      <c r="H18" s="84"/>
      <c r="I18" s="85"/>
      <c r="J18" s="86"/>
      <c r="K18" s="83"/>
      <c r="L18" s="84"/>
      <c r="M18" s="142"/>
      <c r="N18" s="86"/>
      <c r="O18" s="83"/>
      <c r="P18" s="84"/>
      <c r="Q18" s="85"/>
      <c r="R18" s="86"/>
      <c r="S18" s="83"/>
      <c r="T18" s="84"/>
      <c r="U18" s="85"/>
      <c r="V18" s="86"/>
      <c r="W18" s="82"/>
      <c r="X18" s="83"/>
      <c r="Y18" s="85"/>
      <c r="Z18" s="86"/>
      <c r="AA18" s="82"/>
      <c r="AB18" s="83"/>
      <c r="AC18" s="85"/>
      <c r="AD18" s="86"/>
      <c r="AE18" s="82"/>
      <c r="AF18" s="83"/>
      <c r="AG18" s="85"/>
      <c r="AH18" s="86"/>
      <c r="AI18" s="82"/>
      <c r="AJ18" s="132"/>
      <c r="AK18" s="85"/>
      <c r="AL18" s="86"/>
      <c r="AM18" s="82"/>
      <c r="AN18" s="83"/>
      <c r="AO18" s="85"/>
      <c r="AP18" s="86"/>
      <c r="AQ18" s="140"/>
      <c r="AR18" s="83"/>
      <c r="AS18" s="85"/>
      <c r="AT18" s="86"/>
      <c r="AU18" s="82"/>
      <c r="AV18" s="83"/>
      <c r="AW18" s="85"/>
      <c r="AX18" s="86"/>
      <c r="AY18" s="82"/>
      <c r="AZ18" s="83"/>
      <c r="BA18" s="85"/>
      <c r="BB18" s="86"/>
      <c r="BC18" s="82"/>
      <c r="BD18" s="83"/>
      <c r="BE18" s="85"/>
      <c r="BF18" s="86"/>
      <c r="BG18" s="82"/>
      <c r="BH18" s="83"/>
      <c r="BI18" s="85"/>
      <c r="BJ18" s="86"/>
      <c r="BK18" s="82"/>
      <c r="BL18" s="83"/>
      <c r="BM18" s="85"/>
      <c r="BN18" s="143"/>
      <c r="BO18" s="82"/>
      <c r="BP18" s="83"/>
      <c r="BQ18" s="85"/>
      <c r="BR18" s="143"/>
      <c r="BS18" s="82"/>
      <c r="BT18" s="83"/>
      <c r="BU18" s="85"/>
      <c r="BV18" s="86"/>
      <c r="BW18" s="82"/>
      <c r="BX18" s="83"/>
      <c r="BY18" s="85"/>
      <c r="BZ18" s="86"/>
      <c r="CA18" s="82"/>
      <c r="CB18" s="83"/>
      <c r="CC18" s="85"/>
      <c r="CD18" s="86"/>
      <c r="CE18" s="82"/>
      <c r="CF18" s="83"/>
      <c r="CG18" s="84"/>
      <c r="CH18" s="52">
        <f t="shared" si="0"/>
        <v>0</v>
      </c>
      <c r="CI18" s="32">
        <f t="shared" si="1"/>
        <v>0</v>
      </c>
      <c r="CJ18" s="32">
        <f t="shared" si="2"/>
        <v>0</v>
      </c>
      <c r="CK18" s="53">
        <f t="shared" si="3"/>
        <v>0</v>
      </c>
      <c r="CL18" s="32">
        <f t="shared" si="5"/>
        <v>0</v>
      </c>
      <c r="CM18" s="57">
        <v>13</v>
      </c>
      <c r="CN18" s="58"/>
      <c r="CO18" s="58"/>
    </row>
    <row r="19" spans="1:93" x14ac:dyDescent="0.2">
      <c r="A19" s="62">
        <f>'протокол регистрации'!D18</f>
        <v>0</v>
      </c>
      <c r="B19" s="65" t="str">
        <f>'протокол регистрации'!B18</f>
        <v/>
      </c>
      <c r="C19" s="66" t="str">
        <f>'протокол регистрации'!C18</f>
        <v/>
      </c>
      <c r="D19" s="138"/>
      <c r="E19" s="54" t="str">
        <f t="shared" si="4"/>
        <v/>
      </c>
      <c r="F19" s="82"/>
      <c r="G19" s="83"/>
      <c r="H19" s="84"/>
      <c r="I19" s="142"/>
      <c r="J19" s="86"/>
      <c r="K19" s="83"/>
      <c r="L19" s="84"/>
      <c r="M19" s="85"/>
      <c r="N19" s="86"/>
      <c r="O19" s="83"/>
      <c r="P19" s="84"/>
      <c r="Q19" s="85"/>
      <c r="R19" s="86"/>
      <c r="S19" s="83"/>
      <c r="T19" s="84"/>
      <c r="U19" s="85"/>
      <c r="V19" s="86"/>
      <c r="W19" s="82"/>
      <c r="X19" s="83"/>
      <c r="Y19" s="85"/>
      <c r="Z19" s="86"/>
      <c r="AA19" s="82"/>
      <c r="AB19" s="83"/>
      <c r="AC19" s="85"/>
      <c r="AD19" s="86"/>
      <c r="AE19" s="82"/>
      <c r="AF19" s="132"/>
      <c r="AG19" s="85"/>
      <c r="AH19" s="86"/>
      <c r="AI19" s="82"/>
      <c r="AJ19" s="83"/>
      <c r="AK19" s="85"/>
      <c r="AL19" s="86"/>
      <c r="AM19" s="140"/>
      <c r="AN19" s="83"/>
      <c r="AO19" s="85"/>
      <c r="AP19" s="86"/>
      <c r="AQ19" s="82"/>
      <c r="AR19" s="83"/>
      <c r="AS19" s="85"/>
      <c r="AT19" s="86"/>
      <c r="AU19" s="82"/>
      <c r="AV19" s="83"/>
      <c r="AW19" s="85"/>
      <c r="AX19" s="86"/>
      <c r="AY19" s="82"/>
      <c r="AZ19" s="83"/>
      <c r="BA19" s="85"/>
      <c r="BB19" s="86"/>
      <c r="BC19" s="82"/>
      <c r="BD19" s="83"/>
      <c r="BE19" s="85"/>
      <c r="BF19" s="86"/>
      <c r="BG19" s="82"/>
      <c r="BH19" s="83"/>
      <c r="BI19" s="85"/>
      <c r="BJ19" s="143"/>
      <c r="BK19" s="82"/>
      <c r="BL19" s="83"/>
      <c r="BM19" s="85"/>
      <c r="BN19" s="86"/>
      <c r="BO19" s="82"/>
      <c r="BP19" s="83"/>
      <c r="BQ19" s="85"/>
      <c r="BR19" s="86"/>
      <c r="BS19" s="140"/>
      <c r="BT19" s="83"/>
      <c r="BU19" s="85"/>
      <c r="BV19" s="86"/>
      <c r="BW19" s="82"/>
      <c r="BX19" s="83"/>
      <c r="BY19" s="85"/>
      <c r="BZ19" s="86"/>
      <c r="CA19" s="82"/>
      <c r="CB19" s="83"/>
      <c r="CC19" s="85"/>
      <c r="CD19" s="86"/>
      <c r="CE19" s="82"/>
      <c r="CF19" s="83"/>
      <c r="CG19" s="84"/>
      <c r="CH19" s="52">
        <f t="shared" si="0"/>
        <v>0</v>
      </c>
      <c r="CI19" s="32">
        <f t="shared" si="1"/>
        <v>0</v>
      </c>
      <c r="CJ19" s="32">
        <f t="shared" si="2"/>
        <v>0</v>
      </c>
      <c r="CK19" s="53">
        <f t="shared" si="3"/>
        <v>0</v>
      </c>
      <c r="CL19" s="32">
        <f t="shared" si="5"/>
        <v>0</v>
      </c>
      <c r="CM19" s="57">
        <v>14</v>
      </c>
      <c r="CN19" s="58"/>
      <c r="CO19" s="58"/>
    </row>
    <row r="20" spans="1:93" x14ac:dyDescent="0.2">
      <c r="A20" s="62">
        <f>'протокол регистрации'!D19</f>
        <v>0</v>
      </c>
      <c r="B20" s="65" t="str">
        <f>'протокол регистрации'!B19</f>
        <v/>
      </c>
      <c r="C20" s="66" t="str">
        <f>'протокол регистрации'!C19</f>
        <v/>
      </c>
      <c r="D20" s="138"/>
      <c r="E20" s="54" t="str">
        <f t="shared" si="4"/>
        <v/>
      </c>
      <c r="F20" s="82"/>
      <c r="G20" s="83"/>
      <c r="H20" s="84"/>
      <c r="I20" s="85"/>
      <c r="J20" s="86"/>
      <c r="K20" s="83"/>
      <c r="L20" s="84"/>
      <c r="M20" s="85"/>
      <c r="N20" s="86"/>
      <c r="O20" s="83"/>
      <c r="P20" s="84"/>
      <c r="Q20" s="85"/>
      <c r="R20" s="86"/>
      <c r="S20" s="83"/>
      <c r="T20" s="84"/>
      <c r="U20" s="142"/>
      <c r="V20" s="86"/>
      <c r="W20" s="82"/>
      <c r="X20" s="132"/>
      <c r="Y20" s="85"/>
      <c r="Z20" s="86"/>
      <c r="AA20" s="82"/>
      <c r="AB20" s="83"/>
      <c r="AC20" s="85"/>
      <c r="AD20" s="86"/>
      <c r="AE20" s="82"/>
      <c r="AF20" s="83"/>
      <c r="AG20" s="85"/>
      <c r="AH20" s="86"/>
      <c r="AI20" s="82"/>
      <c r="AJ20" s="83"/>
      <c r="AK20" s="85"/>
      <c r="AL20" s="86"/>
      <c r="AM20" s="82"/>
      <c r="AN20" s="83"/>
      <c r="AO20" s="85"/>
      <c r="AP20" s="86"/>
      <c r="AQ20" s="82"/>
      <c r="AR20" s="83"/>
      <c r="AS20" s="85"/>
      <c r="AT20" s="86"/>
      <c r="AU20" s="82"/>
      <c r="AV20" s="83"/>
      <c r="AW20" s="85"/>
      <c r="AX20" s="86"/>
      <c r="AY20" s="140"/>
      <c r="AZ20" s="83"/>
      <c r="BA20" s="85"/>
      <c r="BB20" s="86"/>
      <c r="BC20" s="82"/>
      <c r="BD20" s="83"/>
      <c r="BE20" s="85"/>
      <c r="BF20" s="143"/>
      <c r="BG20" s="82"/>
      <c r="BH20" s="83"/>
      <c r="BI20" s="85"/>
      <c r="BJ20" s="86"/>
      <c r="BK20" s="82"/>
      <c r="BL20" s="83"/>
      <c r="BM20" s="85"/>
      <c r="BN20" s="86"/>
      <c r="BO20" s="82"/>
      <c r="BP20" s="83"/>
      <c r="BQ20" s="85"/>
      <c r="BR20" s="86"/>
      <c r="BS20" s="82"/>
      <c r="BT20" s="132"/>
      <c r="BU20" s="85"/>
      <c r="BV20" s="86"/>
      <c r="BW20" s="82"/>
      <c r="BX20" s="83"/>
      <c r="BY20" s="85"/>
      <c r="BZ20" s="86"/>
      <c r="CA20" s="82"/>
      <c r="CB20" s="83"/>
      <c r="CC20" s="85"/>
      <c r="CD20" s="86"/>
      <c r="CE20" s="82"/>
      <c r="CF20" s="83"/>
      <c r="CG20" s="84"/>
      <c r="CH20" s="52">
        <f t="shared" si="0"/>
        <v>0</v>
      </c>
      <c r="CI20" s="32">
        <f t="shared" si="1"/>
        <v>0</v>
      </c>
      <c r="CJ20" s="32">
        <f t="shared" si="2"/>
        <v>0</v>
      </c>
      <c r="CK20" s="53">
        <f t="shared" si="3"/>
        <v>0</v>
      </c>
      <c r="CL20" s="32">
        <f t="shared" si="5"/>
        <v>0</v>
      </c>
      <c r="CM20" s="57">
        <v>15</v>
      </c>
      <c r="CN20" s="58"/>
      <c r="CO20" s="58"/>
    </row>
    <row r="21" spans="1:93" ht="13.5" thickBot="1" x14ac:dyDescent="0.25">
      <c r="A21" s="70">
        <f>'протокол регистрации'!D20</f>
        <v>0</v>
      </c>
      <c r="B21" s="67" t="str">
        <f>'протокол регистрации'!B20</f>
        <v/>
      </c>
      <c r="C21" s="68" t="str">
        <f>'протокол регистрации'!C20</f>
        <v/>
      </c>
      <c r="D21" s="139"/>
      <c r="E21" s="73" t="str">
        <f t="shared" si="4"/>
        <v/>
      </c>
      <c r="F21" s="87"/>
      <c r="G21" s="88"/>
      <c r="H21" s="89"/>
      <c r="I21" s="90"/>
      <c r="J21" s="91"/>
      <c r="K21" s="88"/>
      <c r="L21" s="89"/>
      <c r="M21" s="90"/>
      <c r="N21" s="91"/>
      <c r="O21" s="88"/>
      <c r="P21" s="89"/>
      <c r="Q21" s="144"/>
      <c r="R21" s="91"/>
      <c r="S21" s="88"/>
      <c r="T21" s="89"/>
      <c r="U21" s="90"/>
      <c r="V21" s="91"/>
      <c r="W21" s="87"/>
      <c r="X21" s="88"/>
      <c r="Y21" s="90"/>
      <c r="Z21" s="91"/>
      <c r="AA21" s="87"/>
      <c r="AB21" s="146"/>
      <c r="AC21" s="90"/>
      <c r="AD21" s="91"/>
      <c r="AE21" s="87"/>
      <c r="AF21" s="88"/>
      <c r="AG21" s="90"/>
      <c r="AH21" s="91"/>
      <c r="AI21" s="87"/>
      <c r="AJ21" s="88"/>
      <c r="AK21" s="90"/>
      <c r="AL21" s="91"/>
      <c r="AM21" s="87"/>
      <c r="AN21" s="88"/>
      <c r="AO21" s="90"/>
      <c r="AP21" s="91"/>
      <c r="AQ21" s="87"/>
      <c r="AR21" s="88"/>
      <c r="AS21" s="90"/>
      <c r="AT21" s="91"/>
      <c r="AU21" s="149"/>
      <c r="AV21" s="88"/>
      <c r="AW21" s="90"/>
      <c r="AX21" s="91"/>
      <c r="AY21" s="87"/>
      <c r="AZ21" s="88"/>
      <c r="BA21" s="90"/>
      <c r="BB21" s="151"/>
      <c r="BC21" s="87"/>
      <c r="BD21" s="88"/>
      <c r="BE21" s="90"/>
      <c r="BF21" s="91"/>
      <c r="BG21" s="87"/>
      <c r="BH21" s="88"/>
      <c r="BI21" s="90"/>
      <c r="BJ21" s="91"/>
      <c r="BK21" s="87"/>
      <c r="BL21" s="88"/>
      <c r="BM21" s="90"/>
      <c r="BN21" s="91"/>
      <c r="BO21" s="87"/>
      <c r="BP21" s="88"/>
      <c r="BQ21" s="90"/>
      <c r="BR21" s="91"/>
      <c r="BS21" s="87"/>
      <c r="BT21" s="88"/>
      <c r="BU21" s="144"/>
      <c r="BV21" s="91"/>
      <c r="BW21" s="87"/>
      <c r="BX21" s="88"/>
      <c r="BY21" s="90"/>
      <c r="BZ21" s="91"/>
      <c r="CA21" s="87"/>
      <c r="CB21" s="88"/>
      <c r="CC21" s="90"/>
      <c r="CD21" s="91"/>
      <c r="CE21" s="87"/>
      <c r="CF21" s="88"/>
      <c r="CG21" s="89"/>
      <c r="CH21" s="59">
        <f t="shared" si="0"/>
        <v>0</v>
      </c>
      <c r="CI21" s="46">
        <f t="shared" si="1"/>
        <v>0</v>
      </c>
      <c r="CJ21" s="46">
        <f t="shared" si="2"/>
        <v>0</v>
      </c>
      <c r="CK21" s="45">
        <f t="shared" si="3"/>
        <v>0</v>
      </c>
      <c r="CL21" s="46">
        <f t="shared" si="5"/>
        <v>0</v>
      </c>
      <c r="CM21" s="48">
        <v>16</v>
      </c>
      <c r="CN21" s="58"/>
      <c r="CO21" s="58"/>
    </row>
  </sheetData>
  <mergeCells count="48">
    <mergeCell ref="A3:A5"/>
    <mergeCell ref="B3:B5"/>
    <mergeCell ref="C3:C5"/>
    <mergeCell ref="D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C3"/>
    <mergeCell ref="CD3:CG3"/>
    <mergeCell ref="CH3:CM4"/>
    <mergeCell ref="CD4:CG4"/>
    <mergeCell ref="BV4:BY4"/>
    <mergeCell ref="CN3:CO3"/>
    <mergeCell ref="D4:D5"/>
    <mergeCell ref="E4:E5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Z4:CC4"/>
    <mergeCell ref="BB4:BE4"/>
    <mergeCell ref="BF4:BI4"/>
    <mergeCell ref="BJ4:BM4"/>
    <mergeCell ref="BN4:BQ4"/>
    <mergeCell ref="BR4:BU4"/>
  </mergeCells>
  <pageMargins left="0.7" right="0.7" top="0.75" bottom="0.75" header="0.3" footer="0.3"/>
  <pageSetup paperSize="9" scale="86" orientation="landscape" r:id="rId1"/>
  <colBreaks count="2" manualBreakCount="2">
    <brk id="41" max="1048575" man="1"/>
    <brk id="9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BM18"/>
  <sheetViews>
    <sheetView workbookViewId="0"/>
  </sheetViews>
  <sheetFormatPr defaultRowHeight="12.75" x14ac:dyDescent="0.2"/>
  <cols>
    <col min="1" max="1" width="3.5703125" bestFit="1" customWidth="1"/>
    <col min="2" max="2" width="17.85546875" customWidth="1"/>
    <col min="3" max="3" width="16" customWidth="1"/>
    <col min="4" max="4" width="6.28515625" bestFit="1" customWidth="1"/>
    <col min="5" max="5" width="6" bestFit="1" customWidth="1"/>
    <col min="6" max="57" width="3" bestFit="1" customWidth="1"/>
    <col min="58" max="61" width="3.28515625" customWidth="1"/>
    <col min="62" max="62" width="4.85546875" bestFit="1" customWidth="1"/>
    <col min="63" max="63" width="6" bestFit="1" customWidth="1"/>
  </cols>
  <sheetData>
    <row r="2" spans="1:65" ht="13.5" thickBot="1" x14ac:dyDescent="0.25"/>
    <row r="3" spans="1:65" x14ac:dyDescent="0.2">
      <c r="A3" s="210" t="s">
        <v>85</v>
      </c>
      <c r="B3" s="213" t="s">
        <v>1</v>
      </c>
      <c r="C3" s="216" t="s">
        <v>22</v>
      </c>
      <c r="D3" s="220" t="s">
        <v>86</v>
      </c>
      <c r="E3" s="202"/>
      <c r="F3" s="200" t="s">
        <v>87</v>
      </c>
      <c r="G3" s="201"/>
      <c r="H3" s="203"/>
      <c r="I3" s="202"/>
      <c r="J3" s="199" t="s">
        <v>88</v>
      </c>
      <c r="K3" s="201"/>
      <c r="L3" s="203"/>
      <c r="M3" s="202"/>
      <c r="N3" s="199" t="s">
        <v>89</v>
      </c>
      <c r="O3" s="201"/>
      <c r="P3" s="203"/>
      <c r="Q3" s="202"/>
      <c r="R3" s="199" t="s">
        <v>90</v>
      </c>
      <c r="S3" s="201"/>
      <c r="T3" s="203"/>
      <c r="U3" s="202"/>
      <c r="V3" s="199" t="s">
        <v>91</v>
      </c>
      <c r="W3" s="200"/>
      <c r="X3" s="201"/>
      <c r="Y3" s="202"/>
      <c r="Z3" s="199" t="s">
        <v>92</v>
      </c>
      <c r="AA3" s="200"/>
      <c r="AB3" s="201"/>
      <c r="AC3" s="202"/>
      <c r="AD3" s="199" t="s">
        <v>93</v>
      </c>
      <c r="AE3" s="200"/>
      <c r="AF3" s="201"/>
      <c r="AG3" s="202"/>
      <c r="AH3" s="199" t="s">
        <v>94</v>
      </c>
      <c r="AI3" s="200"/>
      <c r="AJ3" s="201"/>
      <c r="AK3" s="202"/>
      <c r="AL3" s="199" t="s">
        <v>95</v>
      </c>
      <c r="AM3" s="200"/>
      <c r="AN3" s="201"/>
      <c r="AO3" s="202"/>
      <c r="AP3" s="199" t="s">
        <v>96</v>
      </c>
      <c r="AQ3" s="200"/>
      <c r="AR3" s="201"/>
      <c r="AS3" s="202"/>
      <c r="AT3" s="199" t="s">
        <v>97</v>
      </c>
      <c r="AU3" s="200"/>
      <c r="AV3" s="201"/>
      <c r="AW3" s="202"/>
      <c r="AX3" s="199" t="s">
        <v>98</v>
      </c>
      <c r="AY3" s="200"/>
      <c r="AZ3" s="201"/>
      <c r="BA3" s="202"/>
      <c r="BB3" s="199" t="s">
        <v>99</v>
      </c>
      <c r="BC3" s="200"/>
      <c r="BD3" s="201"/>
      <c r="BE3" s="202"/>
      <c r="BF3" s="204" t="s">
        <v>107</v>
      </c>
      <c r="BG3" s="205"/>
      <c r="BH3" s="205"/>
      <c r="BI3" s="205"/>
      <c r="BJ3" s="205"/>
      <c r="BK3" s="206"/>
      <c r="BL3" s="192" t="s">
        <v>108</v>
      </c>
      <c r="BM3" s="193"/>
    </row>
    <row r="4" spans="1:65" x14ac:dyDescent="0.2">
      <c r="A4" s="211"/>
      <c r="B4" s="214"/>
      <c r="C4" s="217"/>
      <c r="D4" s="221" t="s">
        <v>11</v>
      </c>
      <c r="E4" s="222" t="s">
        <v>12</v>
      </c>
      <c r="F4" s="198" t="s">
        <v>109</v>
      </c>
      <c r="G4" s="181"/>
      <c r="H4" s="181"/>
      <c r="I4" s="191"/>
      <c r="J4" s="190" t="s">
        <v>109</v>
      </c>
      <c r="K4" s="181"/>
      <c r="L4" s="181"/>
      <c r="M4" s="191"/>
      <c r="N4" s="190" t="s">
        <v>109</v>
      </c>
      <c r="O4" s="181"/>
      <c r="P4" s="181"/>
      <c r="Q4" s="191"/>
      <c r="R4" s="190" t="s">
        <v>109</v>
      </c>
      <c r="S4" s="181"/>
      <c r="T4" s="181"/>
      <c r="U4" s="191"/>
      <c r="V4" s="190" t="s">
        <v>109</v>
      </c>
      <c r="W4" s="181"/>
      <c r="X4" s="181"/>
      <c r="Y4" s="191"/>
      <c r="Z4" s="190" t="s">
        <v>109</v>
      </c>
      <c r="AA4" s="181"/>
      <c r="AB4" s="181"/>
      <c r="AC4" s="191"/>
      <c r="AD4" s="190" t="s">
        <v>109</v>
      </c>
      <c r="AE4" s="181"/>
      <c r="AF4" s="181"/>
      <c r="AG4" s="191"/>
      <c r="AH4" s="190" t="s">
        <v>109</v>
      </c>
      <c r="AI4" s="181"/>
      <c r="AJ4" s="181"/>
      <c r="AK4" s="191"/>
      <c r="AL4" s="190" t="s">
        <v>109</v>
      </c>
      <c r="AM4" s="181"/>
      <c r="AN4" s="181"/>
      <c r="AO4" s="191"/>
      <c r="AP4" s="190" t="s">
        <v>109</v>
      </c>
      <c r="AQ4" s="181"/>
      <c r="AR4" s="181"/>
      <c r="AS4" s="191"/>
      <c r="AT4" s="190" t="s">
        <v>109</v>
      </c>
      <c r="AU4" s="181"/>
      <c r="AV4" s="181"/>
      <c r="AW4" s="191"/>
      <c r="AX4" s="190" t="s">
        <v>109</v>
      </c>
      <c r="AY4" s="181"/>
      <c r="AZ4" s="181"/>
      <c r="BA4" s="191"/>
      <c r="BB4" s="190" t="s">
        <v>109</v>
      </c>
      <c r="BC4" s="181"/>
      <c r="BD4" s="181"/>
      <c r="BE4" s="191"/>
      <c r="BF4" s="207"/>
      <c r="BG4" s="208"/>
      <c r="BH4" s="208"/>
      <c r="BI4" s="208"/>
      <c r="BJ4" s="208"/>
      <c r="BK4" s="209"/>
      <c r="BL4" s="43"/>
      <c r="BM4" s="44"/>
    </row>
    <row r="5" spans="1:65" ht="13.5" thickBot="1" x14ac:dyDescent="0.25">
      <c r="A5" s="212"/>
      <c r="B5" s="215"/>
      <c r="C5" s="218"/>
      <c r="D5" s="195"/>
      <c r="E5" s="197"/>
      <c r="F5" s="45">
        <v>10</v>
      </c>
      <c r="G5" s="46">
        <v>20</v>
      </c>
      <c r="H5" s="47">
        <v>30</v>
      </c>
      <c r="I5" s="48">
        <v>40</v>
      </c>
      <c r="J5" s="45">
        <v>10</v>
      </c>
      <c r="K5" s="46">
        <v>20</v>
      </c>
      <c r="L5" s="47">
        <v>30</v>
      </c>
      <c r="M5" s="48">
        <v>40</v>
      </c>
      <c r="N5" s="45">
        <v>10</v>
      </c>
      <c r="O5" s="46">
        <v>20</v>
      </c>
      <c r="P5" s="47">
        <v>30</v>
      </c>
      <c r="Q5" s="48">
        <v>40</v>
      </c>
      <c r="R5" s="45">
        <v>10</v>
      </c>
      <c r="S5" s="46">
        <v>20</v>
      </c>
      <c r="T5" s="47">
        <v>30</v>
      </c>
      <c r="U5" s="48">
        <v>40</v>
      </c>
      <c r="V5" s="45">
        <v>10</v>
      </c>
      <c r="W5" s="46">
        <v>20</v>
      </c>
      <c r="X5" s="47">
        <v>30</v>
      </c>
      <c r="Y5" s="48">
        <v>40</v>
      </c>
      <c r="Z5" s="45">
        <v>10</v>
      </c>
      <c r="AA5" s="46">
        <v>20</v>
      </c>
      <c r="AB5" s="47">
        <v>30</v>
      </c>
      <c r="AC5" s="48">
        <v>40</v>
      </c>
      <c r="AD5" s="45">
        <v>10</v>
      </c>
      <c r="AE5" s="46">
        <v>20</v>
      </c>
      <c r="AF5" s="47">
        <v>30</v>
      </c>
      <c r="AG5" s="48">
        <v>40</v>
      </c>
      <c r="AH5" s="45">
        <v>10</v>
      </c>
      <c r="AI5" s="46">
        <v>20</v>
      </c>
      <c r="AJ5" s="47">
        <v>30</v>
      </c>
      <c r="AK5" s="48">
        <v>40</v>
      </c>
      <c r="AL5" s="45">
        <v>10</v>
      </c>
      <c r="AM5" s="46">
        <v>20</v>
      </c>
      <c r="AN5" s="47">
        <v>30</v>
      </c>
      <c r="AO5" s="48">
        <v>40</v>
      </c>
      <c r="AP5" s="45">
        <v>10</v>
      </c>
      <c r="AQ5" s="46">
        <v>20</v>
      </c>
      <c r="AR5" s="47">
        <v>30</v>
      </c>
      <c r="AS5" s="48">
        <v>40</v>
      </c>
      <c r="AT5" s="45">
        <v>10</v>
      </c>
      <c r="AU5" s="46">
        <v>20</v>
      </c>
      <c r="AV5" s="47">
        <v>30</v>
      </c>
      <c r="AW5" s="48">
        <v>40</v>
      </c>
      <c r="AX5" s="45">
        <v>10</v>
      </c>
      <c r="AY5" s="46">
        <v>20</v>
      </c>
      <c r="AZ5" s="47">
        <v>30</v>
      </c>
      <c r="BA5" s="48">
        <v>40</v>
      </c>
      <c r="BB5" s="45">
        <v>10</v>
      </c>
      <c r="BC5" s="46">
        <v>20</v>
      </c>
      <c r="BD5" s="47">
        <v>30</v>
      </c>
      <c r="BE5" s="48">
        <v>40</v>
      </c>
      <c r="BF5" s="49" t="str">
        <f>ROMAN(1)</f>
        <v>I</v>
      </c>
      <c r="BG5" s="46" t="str">
        <f>ROMAN(2)</f>
        <v>II</v>
      </c>
      <c r="BH5" s="46" t="str">
        <f>ROMAN(3)</f>
        <v>III</v>
      </c>
      <c r="BI5" s="46" t="str">
        <f>ROMAN(4)</f>
        <v>IV</v>
      </c>
      <c r="BJ5" s="46" t="s">
        <v>17</v>
      </c>
      <c r="BK5" s="48" t="s">
        <v>12</v>
      </c>
      <c r="BL5" s="49" t="s">
        <v>110</v>
      </c>
      <c r="BM5" s="50" t="s">
        <v>12</v>
      </c>
    </row>
    <row r="6" spans="1:65" ht="15" x14ac:dyDescent="0.2">
      <c r="A6" s="61">
        <f>'протокол регистрации'!D5</f>
        <v>39</v>
      </c>
      <c r="B6" s="51" t="str">
        <f>'протокол регистрации'!B5</f>
        <v>Роман</v>
      </c>
      <c r="C6" s="42" t="str">
        <f>'протокол регистрации'!C5</f>
        <v>Румачик</v>
      </c>
      <c r="D6" s="74"/>
      <c r="E6" s="108" t="str">
        <f>IF(D6&gt;0,RANK(D6,$D$6:$D$18),"")</f>
        <v/>
      </c>
      <c r="F6" s="92"/>
      <c r="G6" s="93"/>
      <c r="H6" s="94"/>
      <c r="I6" s="95"/>
      <c r="J6" s="96"/>
      <c r="K6" s="93"/>
      <c r="L6" s="94"/>
      <c r="M6" s="95"/>
      <c r="N6" s="96"/>
      <c r="O6" s="93"/>
      <c r="P6" s="94"/>
      <c r="Q6" s="95"/>
      <c r="R6" s="96"/>
      <c r="S6" s="93"/>
      <c r="T6" s="94"/>
      <c r="U6" s="95"/>
      <c r="V6" s="96"/>
      <c r="W6" s="92"/>
      <c r="X6" s="158"/>
      <c r="Y6" s="95"/>
      <c r="Z6" s="96"/>
      <c r="AA6" s="92"/>
      <c r="AB6" s="93"/>
      <c r="AC6" s="95"/>
      <c r="AD6" s="96"/>
      <c r="AE6" s="92"/>
      <c r="AF6" s="93"/>
      <c r="AG6" s="95"/>
      <c r="AH6" s="96"/>
      <c r="AI6" s="92"/>
      <c r="AJ6" s="93"/>
      <c r="AK6" s="95"/>
      <c r="AL6" s="96"/>
      <c r="AM6" s="92"/>
      <c r="AN6" s="93"/>
      <c r="AO6" s="159"/>
      <c r="AP6" s="96"/>
      <c r="AQ6" s="92"/>
      <c r="AR6" s="93"/>
      <c r="AS6" s="95"/>
      <c r="AT6" s="160"/>
      <c r="AU6" s="92"/>
      <c r="AV6" s="93"/>
      <c r="AW6" s="95"/>
      <c r="AX6" s="96"/>
      <c r="AY6" s="92"/>
      <c r="AZ6" s="93"/>
      <c r="BA6" s="95"/>
      <c r="BB6" s="96"/>
      <c r="BC6" s="161"/>
      <c r="BD6" s="93"/>
      <c r="BE6" s="95"/>
      <c r="BF6" s="43">
        <f t="shared" ref="BF6:BF18" si="0">COUNTIF(F6:BE6,1)</f>
        <v>0</v>
      </c>
      <c r="BG6" s="41">
        <f t="shared" ref="BG6:BG18" si="1">COUNTIF(F6:BE6,2)</f>
        <v>0</v>
      </c>
      <c r="BH6" s="41">
        <f t="shared" ref="BH6:BH18" si="2">COUNTIF(F6:BE6,3)</f>
        <v>0</v>
      </c>
      <c r="BI6" s="60">
        <f t="shared" ref="BI6:BI18" si="3">COUNTIF(F6:BE6,4)</f>
        <v>0</v>
      </c>
      <c r="BJ6" s="41">
        <f t="shared" ref="BJ6:BJ18" si="4">BF6*3+BG6*2+BH6</f>
        <v>0</v>
      </c>
      <c r="BK6" s="54">
        <v>1</v>
      </c>
      <c r="BL6" s="55"/>
      <c r="BM6" s="54"/>
    </row>
    <row r="7" spans="1:65" ht="15" x14ac:dyDescent="0.2">
      <c r="A7" s="61">
        <f>'протокол регистрации'!D6</f>
        <v>63</v>
      </c>
      <c r="B7" s="56" t="str">
        <f>'протокол регистрации'!B6</f>
        <v>Антон</v>
      </c>
      <c r="C7" s="57" t="str">
        <f>'протокол регистрации'!C6</f>
        <v>Ильницкий</v>
      </c>
      <c r="D7" s="75"/>
      <c r="E7" s="57" t="str">
        <f t="shared" ref="E7:E18" si="5">IF(D7&gt;0,RANK(D7,$D$6:$D$18),"")</f>
        <v/>
      </c>
      <c r="F7" s="153"/>
      <c r="G7" s="97"/>
      <c r="H7" s="98"/>
      <c r="I7" s="99"/>
      <c r="J7" s="100"/>
      <c r="K7" s="97"/>
      <c r="L7" s="98"/>
      <c r="M7" s="156"/>
      <c r="N7" s="100"/>
      <c r="O7" s="97"/>
      <c r="P7" s="98"/>
      <c r="Q7" s="99"/>
      <c r="R7" s="100"/>
      <c r="S7" s="97"/>
      <c r="T7" s="98"/>
      <c r="U7" s="99"/>
      <c r="V7" s="100"/>
      <c r="W7" s="101"/>
      <c r="X7" s="97"/>
      <c r="Y7" s="99"/>
      <c r="Z7" s="100"/>
      <c r="AA7" s="101"/>
      <c r="AB7" s="154"/>
      <c r="AC7" s="99"/>
      <c r="AD7" s="100"/>
      <c r="AE7" s="101"/>
      <c r="AF7" s="97"/>
      <c r="AG7" s="99"/>
      <c r="AH7" s="100"/>
      <c r="AI7" s="101"/>
      <c r="AJ7" s="97"/>
      <c r="AK7" s="99"/>
      <c r="AL7" s="100"/>
      <c r="AM7" s="101"/>
      <c r="AN7" s="97"/>
      <c r="AO7" s="99"/>
      <c r="AP7" s="100"/>
      <c r="AQ7" s="101"/>
      <c r="AR7" s="97"/>
      <c r="AS7" s="99"/>
      <c r="AT7" s="100"/>
      <c r="AU7" s="153"/>
      <c r="AV7" s="97"/>
      <c r="AW7" s="99"/>
      <c r="AX7" s="100"/>
      <c r="AY7" s="101"/>
      <c r="AZ7" s="97"/>
      <c r="BA7" s="99"/>
      <c r="BB7" s="100"/>
      <c r="BC7" s="101"/>
      <c r="BD7" s="97"/>
      <c r="BE7" s="99"/>
      <c r="BF7" s="52">
        <f t="shared" si="0"/>
        <v>0</v>
      </c>
      <c r="BG7" s="32">
        <f t="shared" si="1"/>
        <v>0</v>
      </c>
      <c r="BH7" s="32">
        <f t="shared" si="2"/>
        <v>0</v>
      </c>
      <c r="BI7" s="53">
        <f t="shared" si="3"/>
        <v>0</v>
      </c>
      <c r="BJ7" s="32">
        <f t="shared" si="4"/>
        <v>0</v>
      </c>
      <c r="BK7" s="57">
        <v>2</v>
      </c>
      <c r="BL7" s="56"/>
      <c r="BM7" s="57"/>
    </row>
    <row r="8" spans="1:65" ht="15" x14ac:dyDescent="0.2">
      <c r="A8" s="61">
        <f>'протокол регистрации'!D7</f>
        <v>3</v>
      </c>
      <c r="B8" s="56" t="str">
        <f>'протокол регистрации'!B7</f>
        <v>Сергей</v>
      </c>
      <c r="C8" s="57" t="str">
        <f>'протокол регистрации'!C7</f>
        <v>Богатырев</v>
      </c>
      <c r="D8" s="75"/>
      <c r="E8" s="57" t="str">
        <f t="shared" si="5"/>
        <v/>
      </c>
      <c r="F8" s="101"/>
      <c r="G8" s="97"/>
      <c r="H8" s="98"/>
      <c r="I8" s="99"/>
      <c r="J8" s="100"/>
      <c r="K8" s="97"/>
      <c r="L8" s="98"/>
      <c r="M8" s="99"/>
      <c r="N8" s="100"/>
      <c r="O8" s="154"/>
      <c r="P8" s="98"/>
      <c r="Q8" s="99"/>
      <c r="R8" s="100"/>
      <c r="S8" s="97"/>
      <c r="T8" s="98"/>
      <c r="U8" s="99"/>
      <c r="V8" s="100"/>
      <c r="W8" s="101"/>
      <c r="X8" s="97"/>
      <c r="Y8" s="99"/>
      <c r="Z8" s="100"/>
      <c r="AA8" s="101"/>
      <c r="AB8" s="97"/>
      <c r="AC8" s="99"/>
      <c r="AD8" s="100"/>
      <c r="AE8" s="101"/>
      <c r="AF8" s="97"/>
      <c r="AG8" s="156"/>
      <c r="AH8" s="100"/>
      <c r="AI8" s="101"/>
      <c r="AJ8" s="97"/>
      <c r="AK8" s="99"/>
      <c r="AL8" s="100"/>
      <c r="AM8" s="101"/>
      <c r="AN8" s="97"/>
      <c r="AO8" s="99"/>
      <c r="AP8" s="157"/>
      <c r="AQ8" s="101"/>
      <c r="AR8" s="97"/>
      <c r="AS8" s="99"/>
      <c r="AT8" s="100"/>
      <c r="AU8" s="101"/>
      <c r="AV8" s="154"/>
      <c r="AW8" s="99"/>
      <c r="AX8" s="100"/>
      <c r="AY8" s="101"/>
      <c r="AZ8" s="97"/>
      <c r="BA8" s="99"/>
      <c r="BB8" s="100"/>
      <c r="BC8" s="101"/>
      <c r="BD8" s="97"/>
      <c r="BE8" s="99"/>
      <c r="BF8" s="52">
        <f t="shared" si="0"/>
        <v>0</v>
      </c>
      <c r="BG8" s="32">
        <f t="shared" si="1"/>
        <v>0</v>
      </c>
      <c r="BH8" s="32">
        <f t="shared" si="2"/>
        <v>0</v>
      </c>
      <c r="BI8" s="53">
        <f t="shared" si="3"/>
        <v>0</v>
      </c>
      <c r="BJ8" s="32">
        <f t="shared" si="4"/>
        <v>0</v>
      </c>
      <c r="BK8" s="57">
        <v>3</v>
      </c>
      <c r="BL8" s="56"/>
      <c r="BM8" s="57"/>
    </row>
    <row r="9" spans="1:65" ht="15.75" thickBot="1" x14ac:dyDescent="0.25">
      <c r="A9" s="61">
        <f>'протокол регистрации'!D8</f>
        <v>71</v>
      </c>
      <c r="B9" s="56" t="str">
        <f>'протокол регистрации'!B8</f>
        <v>Евгений</v>
      </c>
      <c r="C9" s="57" t="str">
        <f>'протокол регистрации'!C8</f>
        <v>Тыщук</v>
      </c>
      <c r="D9" s="75"/>
      <c r="E9" s="57" t="str">
        <f t="shared" si="5"/>
        <v/>
      </c>
      <c r="F9" s="101"/>
      <c r="G9" s="97"/>
      <c r="H9" s="98"/>
      <c r="I9" s="99"/>
      <c r="J9" s="100"/>
      <c r="K9" s="97"/>
      <c r="L9" s="98"/>
      <c r="M9" s="99"/>
      <c r="N9" s="100"/>
      <c r="O9" s="97"/>
      <c r="P9" s="98"/>
      <c r="Q9" s="99"/>
      <c r="R9" s="157"/>
      <c r="S9" s="97"/>
      <c r="T9" s="98"/>
      <c r="U9" s="99"/>
      <c r="V9" s="100"/>
      <c r="W9" s="101"/>
      <c r="X9" s="97"/>
      <c r="Y9" s="99"/>
      <c r="Z9" s="100"/>
      <c r="AA9" s="101"/>
      <c r="AB9" s="97"/>
      <c r="AC9" s="99"/>
      <c r="AD9" s="100"/>
      <c r="AE9" s="101"/>
      <c r="AF9" s="97"/>
      <c r="AG9" s="99"/>
      <c r="AH9" s="100"/>
      <c r="AI9" s="101"/>
      <c r="AJ9" s="154"/>
      <c r="AK9" s="99"/>
      <c r="AL9" s="100"/>
      <c r="AM9" s="101"/>
      <c r="AN9" s="97"/>
      <c r="AO9" s="99"/>
      <c r="AP9" s="100"/>
      <c r="AQ9" s="101"/>
      <c r="AR9" s="97"/>
      <c r="AS9" s="99"/>
      <c r="AT9" s="100"/>
      <c r="AU9" s="101"/>
      <c r="AV9" s="97"/>
      <c r="AW9" s="156"/>
      <c r="AX9" s="100"/>
      <c r="AY9" s="153"/>
      <c r="AZ9" s="97"/>
      <c r="BA9" s="99"/>
      <c r="BB9" s="100"/>
      <c r="BC9" s="101"/>
      <c r="BD9" s="97"/>
      <c r="BE9" s="99"/>
      <c r="BF9" s="52">
        <f t="shared" si="0"/>
        <v>0</v>
      </c>
      <c r="BG9" s="32">
        <f t="shared" si="1"/>
        <v>0</v>
      </c>
      <c r="BH9" s="32">
        <f t="shared" si="2"/>
        <v>0</v>
      </c>
      <c r="BI9" s="53">
        <f t="shared" si="3"/>
        <v>0</v>
      </c>
      <c r="BJ9" s="32">
        <f t="shared" si="4"/>
        <v>0</v>
      </c>
      <c r="BK9" s="57">
        <v>4</v>
      </c>
      <c r="BL9" s="49"/>
      <c r="BM9" s="48"/>
    </row>
    <row r="10" spans="1:65" ht="15" x14ac:dyDescent="0.2">
      <c r="A10" s="61">
        <f>'протокол регистрации'!D9</f>
        <v>50</v>
      </c>
      <c r="B10" s="56" t="str">
        <f>'протокол регистрации'!B9</f>
        <v>Антон</v>
      </c>
      <c r="C10" s="57" t="str">
        <f>'протокол регистрации'!C9</f>
        <v>Тихонов</v>
      </c>
      <c r="D10" s="75"/>
      <c r="E10" s="57" t="str">
        <f t="shared" si="5"/>
        <v/>
      </c>
      <c r="F10" s="101"/>
      <c r="G10" s="97"/>
      <c r="H10" s="98"/>
      <c r="I10" s="99"/>
      <c r="J10" s="100"/>
      <c r="K10" s="154"/>
      <c r="L10" s="98"/>
      <c r="M10" s="99"/>
      <c r="N10" s="100"/>
      <c r="O10" s="97"/>
      <c r="P10" s="98"/>
      <c r="Q10" s="156"/>
      <c r="R10" s="100"/>
      <c r="S10" s="97"/>
      <c r="T10" s="98"/>
      <c r="U10" s="99"/>
      <c r="V10" s="157"/>
      <c r="W10" s="101"/>
      <c r="X10" s="97"/>
      <c r="Y10" s="99"/>
      <c r="Z10" s="100"/>
      <c r="AA10" s="101"/>
      <c r="AB10" s="97"/>
      <c r="AC10" s="99"/>
      <c r="AD10" s="100"/>
      <c r="AE10" s="101"/>
      <c r="AF10" s="97"/>
      <c r="AG10" s="99"/>
      <c r="AH10" s="100"/>
      <c r="AI10" s="101"/>
      <c r="AJ10" s="97"/>
      <c r="AK10" s="99"/>
      <c r="AL10" s="100"/>
      <c r="AM10" s="101"/>
      <c r="AN10" s="97"/>
      <c r="AO10" s="99"/>
      <c r="AP10" s="100"/>
      <c r="AQ10" s="101"/>
      <c r="AR10" s="97"/>
      <c r="AS10" s="99"/>
      <c r="AT10" s="100"/>
      <c r="AU10" s="101"/>
      <c r="AV10" s="97"/>
      <c r="AW10" s="99"/>
      <c r="AX10" s="100"/>
      <c r="AY10" s="101"/>
      <c r="AZ10" s="154"/>
      <c r="BA10" s="99"/>
      <c r="BB10" s="100"/>
      <c r="BC10" s="101"/>
      <c r="BD10" s="97"/>
      <c r="BE10" s="99"/>
      <c r="BF10" s="52">
        <f t="shared" si="0"/>
        <v>0</v>
      </c>
      <c r="BG10" s="32">
        <f t="shared" si="1"/>
        <v>0</v>
      </c>
      <c r="BH10" s="32">
        <f t="shared" si="2"/>
        <v>0</v>
      </c>
      <c r="BI10" s="53">
        <f t="shared" si="3"/>
        <v>0</v>
      </c>
      <c r="BJ10" s="32">
        <f t="shared" si="4"/>
        <v>0</v>
      </c>
      <c r="BK10" s="57">
        <v>5</v>
      </c>
      <c r="BL10" s="58"/>
      <c r="BM10" s="58"/>
    </row>
    <row r="11" spans="1:65" ht="15" x14ac:dyDescent="0.2">
      <c r="A11" s="61">
        <f>'протокол регистрации'!D10</f>
        <v>7</v>
      </c>
      <c r="B11" s="56" t="str">
        <f>'протокол регистрации'!B10</f>
        <v>Дмитрий</v>
      </c>
      <c r="C11" s="57" t="str">
        <f>'протокол регистрации'!C10</f>
        <v>Ходий</v>
      </c>
      <c r="D11" s="75"/>
      <c r="E11" s="57" t="str">
        <f t="shared" si="5"/>
        <v/>
      </c>
      <c r="F11" s="101"/>
      <c r="G11" s="97"/>
      <c r="H11" s="98"/>
      <c r="I11" s="156"/>
      <c r="J11" s="100"/>
      <c r="K11" s="97"/>
      <c r="L11" s="98"/>
      <c r="M11" s="99"/>
      <c r="N11" s="100"/>
      <c r="O11" s="97"/>
      <c r="P11" s="98"/>
      <c r="Q11" s="99"/>
      <c r="R11" s="100"/>
      <c r="S11" s="97"/>
      <c r="T11" s="155"/>
      <c r="U11" s="99"/>
      <c r="V11" s="100"/>
      <c r="W11" s="153"/>
      <c r="X11" s="97"/>
      <c r="Y11" s="99"/>
      <c r="Z11" s="100"/>
      <c r="AA11" s="101"/>
      <c r="AB11" s="97"/>
      <c r="AC11" s="99"/>
      <c r="AD11" s="157"/>
      <c r="AE11" s="101"/>
      <c r="AF11" s="97"/>
      <c r="AG11" s="99"/>
      <c r="AH11" s="100"/>
      <c r="AI11" s="101"/>
      <c r="AJ11" s="97"/>
      <c r="AK11" s="99"/>
      <c r="AL11" s="100"/>
      <c r="AM11" s="101"/>
      <c r="AN11" s="97"/>
      <c r="AO11" s="99"/>
      <c r="AP11" s="100"/>
      <c r="AQ11" s="101"/>
      <c r="AR11" s="97"/>
      <c r="AS11" s="99"/>
      <c r="AT11" s="100"/>
      <c r="AU11" s="101"/>
      <c r="AV11" s="97"/>
      <c r="AW11" s="99"/>
      <c r="AX11" s="100"/>
      <c r="AY11" s="101"/>
      <c r="AZ11" s="97"/>
      <c r="BA11" s="99"/>
      <c r="BB11" s="100"/>
      <c r="BC11" s="101"/>
      <c r="BD11" s="97"/>
      <c r="BE11" s="99"/>
      <c r="BF11" s="52">
        <f t="shared" si="0"/>
        <v>0</v>
      </c>
      <c r="BG11" s="32">
        <f t="shared" si="1"/>
        <v>0</v>
      </c>
      <c r="BH11" s="32">
        <f t="shared" si="2"/>
        <v>0</v>
      </c>
      <c r="BI11" s="53">
        <f t="shared" si="3"/>
        <v>0</v>
      </c>
      <c r="BJ11" s="32">
        <f t="shared" si="4"/>
        <v>0</v>
      </c>
      <c r="BK11" s="57">
        <v>6</v>
      </c>
      <c r="BL11" s="58"/>
      <c r="BM11" s="58"/>
    </row>
    <row r="12" spans="1:65" ht="15" x14ac:dyDescent="0.2">
      <c r="A12" s="61">
        <f>'протокол регистрации'!D11</f>
        <v>15</v>
      </c>
      <c r="B12" s="56" t="str">
        <f>'протокол регистрации'!B11</f>
        <v>Алексей</v>
      </c>
      <c r="C12" s="57" t="str">
        <f>'протокол регистрации'!C11</f>
        <v>Алдабаев</v>
      </c>
      <c r="D12" s="75"/>
      <c r="E12" s="57" t="str">
        <f t="shared" si="5"/>
        <v/>
      </c>
      <c r="F12" s="101"/>
      <c r="G12" s="97"/>
      <c r="H12" s="98"/>
      <c r="I12" s="99"/>
      <c r="J12" s="100"/>
      <c r="K12" s="97"/>
      <c r="L12" s="98"/>
      <c r="M12" s="99"/>
      <c r="N12" s="100"/>
      <c r="O12" s="97"/>
      <c r="P12" s="155"/>
      <c r="Q12" s="99"/>
      <c r="R12" s="100"/>
      <c r="S12" s="97"/>
      <c r="T12" s="98"/>
      <c r="U12" s="99"/>
      <c r="V12" s="100"/>
      <c r="W12" s="101"/>
      <c r="X12" s="97"/>
      <c r="Y12" s="156"/>
      <c r="Z12" s="157"/>
      <c r="AA12" s="101"/>
      <c r="AB12" s="97"/>
      <c r="AC12" s="99"/>
      <c r="AD12" s="100"/>
      <c r="AE12" s="101"/>
      <c r="AF12" s="97"/>
      <c r="AG12" s="99"/>
      <c r="AH12" s="100"/>
      <c r="AI12" s="153"/>
      <c r="AJ12" s="97"/>
      <c r="AK12" s="99"/>
      <c r="AL12" s="100"/>
      <c r="AM12" s="101"/>
      <c r="AN12" s="97"/>
      <c r="AO12" s="99"/>
      <c r="AP12" s="100"/>
      <c r="AQ12" s="101"/>
      <c r="AR12" s="154"/>
      <c r="AS12" s="99"/>
      <c r="AT12" s="100"/>
      <c r="AU12" s="101"/>
      <c r="AV12" s="97"/>
      <c r="AW12" s="99"/>
      <c r="AX12" s="100"/>
      <c r="AY12" s="101"/>
      <c r="AZ12" s="97"/>
      <c r="BA12" s="99"/>
      <c r="BB12" s="100"/>
      <c r="BC12" s="101"/>
      <c r="BD12" s="97"/>
      <c r="BE12" s="99"/>
      <c r="BF12" s="52">
        <f t="shared" si="0"/>
        <v>0</v>
      </c>
      <c r="BG12" s="32">
        <f t="shared" si="1"/>
        <v>0</v>
      </c>
      <c r="BH12" s="32">
        <f t="shared" si="2"/>
        <v>0</v>
      </c>
      <c r="BI12" s="53">
        <f t="shared" si="3"/>
        <v>0</v>
      </c>
      <c r="BJ12" s="32">
        <f t="shared" si="4"/>
        <v>0</v>
      </c>
      <c r="BK12" s="57">
        <v>7</v>
      </c>
      <c r="BL12" s="58"/>
      <c r="BM12" s="58"/>
    </row>
    <row r="13" spans="1:65" ht="15" x14ac:dyDescent="0.2">
      <c r="A13" s="61">
        <f>'протокол регистрации'!D12</f>
        <v>73</v>
      </c>
      <c r="B13" s="56" t="str">
        <f>'протокол регистрации'!B12</f>
        <v>Андрей</v>
      </c>
      <c r="C13" s="57" t="str">
        <f>'протокол регистрации'!C12</f>
        <v>Пугачев</v>
      </c>
      <c r="D13" s="75"/>
      <c r="E13" s="57" t="str">
        <f t="shared" si="5"/>
        <v/>
      </c>
      <c r="F13" s="101"/>
      <c r="G13" s="97"/>
      <c r="H13" s="98"/>
      <c r="I13" s="99"/>
      <c r="J13" s="100"/>
      <c r="K13" s="97"/>
      <c r="L13" s="155"/>
      <c r="M13" s="99"/>
      <c r="N13" s="100"/>
      <c r="O13" s="97"/>
      <c r="P13" s="98"/>
      <c r="Q13" s="99"/>
      <c r="R13" s="100"/>
      <c r="S13" s="97"/>
      <c r="T13" s="98"/>
      <c r="U13" s="99"/>
      <c r="V13" s="100"/>
      <c r="W13" s="101"/>
      <c r="X13" s="97"/>
      <c r="Y13" s="99"/>
      <c r="Z13" s="100"/>
      <c r="AA13" s="101"/>
      <c r="AB13" s="97"/>
      <c r="AC13" s="99"/>
      <c r="AD13" s="100"/>
      <c r="AE13" s="153"/>
      <c r="AF13" s="97"/>
      <c r="AG13" s="99"/>
      <c r="AH13" s="157"/>
      <c r="AI13" s="101"/>
      <c r="AJ13" s="97"/>
      <c r="AK13" s="99"/>
      <c r="AL13" s="100"/>
      <c r="AM13" s="101"/>
      <c r="AN13" s="97"/>
      <c r="AO13" s="99"/>
      <c r="AP13" s="100"/>
      <c r="AQ13" s="101"/>
      <c r="AR13" s="97"/>
      <c r="AS13" s="99"/>
      <c r="AT13" s="100"/>
      <c r="AU13" s="101"/>
      <c r="AV13" s="97"/>
      <c r="AW13" s="99"/>
      <c r="AX13" s="100"/>
      <c r="AY13" s="101"/>
      <c r="AZ13" s="97"/>
      <c r="BA13" s="99"/>
      <c r="BB13" s="100"/>
      <c r="BC13" s="101"/>
      <c r="BD13" s="97"/>
      <c r="BE13" s="156"/>
      <c r="BF13" s="52">
        <f t="shared" si="0"/>
        <v>0</v>
      </c>
      <c r="BG13" s="32">
        <f t="shared" si="1"/>
        <v>0</v>
      </c>
      <c r="BH13" s="32">
        <f t="shared" si="2"/>
        <v>0</v>
      </c>
      <c r="BI13" s="53">
        <f t="shared" si="3"/>
        <v>0</v>
      </c>
      <c r="BJ13" s="32">
        <f t="shared" si="4"/>
        <v>0</v>
      </c>
      <c r="BK13" s="57">
        <v>8</v>
      </c>
      <c r="BL13" s="58"/>
      <c r="BM13" s="58"/>
    </row>
    <row r="14" spans="1:65" ht="15" x14ac:dyDescent="0.2">
      <c r="A14" s="61">
        <f>'протокол регистрации'!D13</f>
        <v>77</v>
      </c>
      <c r="B14" s="56" t="str">
        <f>'протокол регистрации'!B13</f>
        <v>Алексей</v>
      </c>
      <c r="C14" s="57" t="str">
        <f>'протокол регистрации'!C13</f>
        <v>Саенков</v>
      </c>
      <c r="D14" s="75"/>
      <c r="E14" s="54" t="str">
        <f t="shared" si="5"/>
        <v/>
      </c>
      <c r="F14" s="101"/>
      <c r="G14" s="154"/>
      <c r="H14" s="98"/>
      <c r="I14" s="99"/>
      <c r="J14" s="100"/>
      <c r="K14" s="97"/>
      <c r="L14" s="98"/>
      <c r="M14" s="99"/>
      <c r="N14" s="100"/>
      <c r="O14" s="97"/>
      <c r="P14" s="98"/>
      <c r="Q14" s="99"/>
      <c r="R14" s="100"/>
      <c r="S14" s="97"/>
      <c r="T14" s="98"/>
      <c r="U14" s="99"/>
      <c r="V14" s="100"/>
      <c r="W14" s="101"/>
      <c r="X14" s="97"/>
      <c r="Y14" s="99"/>
      <c r="Z14" s="100"/>
      <c r="AA14" s="101"/>
      <c r="AB14" s="97"/>
      <c r="AC14" s="99"/>
      <c r="AD14" s="100"/>
      <c r="AE14" s="101"/>
      <c r="AF14" s="97"/>
      <c r="AG14" s="99"/>
      <c r="AH14" s="100"/>
      <c r="AI14" s="101"/>
      <c r="AJ14" s="97"/>
      <c r="AK14" s="99"/>
      <c r="AL14" s="100"/>
      <c r="AM14" s="101"/>
      <c r="AN14" s="97"/>
      <c r="AO14" s="99"/>
      <c r="AP14" s="100"/>
      <c r="AQ14" s="101"/>
      <c r="AR14" s="97"/>
      <c r="AS14" s="156"/>
      <c r="AT14" s="100"/>
      <c r="AU14" s="101"/>
      <c r="AV14" s="97"/>
      <c r="AW14" s="99"/>
      <c r="AX14" s="157"/>
      <c r="AY14" s="101"/>
      <c r="AZ14" s="97"/>
      <c r="BA14" s="99"/>
      <c r="BB14" s="100"/>
      <c r="BC14" s="101"/>
      <c r="BD14" s="154"/>
      <c r="BE14" s="99"/>
      <c r="BF14" s="52">
        <f t="shared" si="0"/>
        <v>0</v>
      </c>
      <c r="BG14" s="32">
        <f t="shared" si="1"/>
        <v>0</v>
      </c>
      <c r="BH14" s="32">
        <f t="shared" si="2"/>
        <v>0</v>
      </c>
      <c r="BI14" s="53">
        <f t="shared" si="3"/>
        <v>0</v>
      </c>
      <c r="BJ14" s="32">
        <f t="shared" si="4"/>
        <v>0</v>
      </c>
      <c r="BK14" s="57">
        <v>9</v>
      </c>
      <c r="BL14" s="58"/>
      <c r="BM14" s="58"/>
    </row>
    <row r="15" spans="1:65" ht="15" x14ac:dyDescent="0.2">
      <c r="A15" s="61">
        <f>'протокол регистрации'!D14</f>
        <v>88</v>
      </c>
      <c r="B15" s="56" t="str">
        <f>'протокол регистрации'!B14</f>
        <v>Георгий</v>
      </c>
      <c r="C15" s="57" t="str">
        <f>'протокол регистрации'!C14</f>
        <v>Шмидт</v>
      </c>
      <c r="D15" s="75"/>
      <c r="E15" s="54" t="str">
        <f t="shared" si="5"/>
        <v/>
      </c>
      <c r="F15" s="101"/>
      <c r="G15" s="97"/>
      <c r="H15" s="98"/>
      <c r="I15" s="99"/>
      <c r="J15" s="100"/>
      <c r="K15" s="97"/>
      <c r="L15" s="98"/>
      <c r="M15" s="99"/>
      <c r="N15" s="100"/>
      <c r="O15" s="97"/>
      <c r="P15" s="98"/>
      <c r="Q15" s="99"/>
      <c r="R15" s="100"/>
      <c r="S15" s="154"/>
      <c r="T15" s="98"/>
      <c r="U15" s="99"/>
      <c r="V15" s="100"/>
      <c r="W15" s="101"/>
      <c r="X15" s="97"/>
      <c r="Y15" s="99"/>
      <c r="Z15" s="100"/>
      <c r="AA15" s="101"/>
      <c r="AB15" s="97"/>
      <c r="AC15" s="156"/>
      <c r="AD15" s="100"/>
      <c r="AE15" s="101"/>
      <c r="AF15" s="97"/>
      <c r="AG15" s="99"/>
      <c r="AH15" s="100"/>
      <c r="AI15" s="101"/>
      <c r="AJ15" s="97"/>
      <c r="AK15" s="99"/>
      <c r="AL15" s="100"/>
      <c r="AM15" s="101"/>
      <c r="AN15" s="97"/>
      <c r="AO15" s="99"/>
      <c r="AP15" s="100"/>
      <c r="AQ15" s="101"/>
      <c r="AR15" s="97"/>
      <c r="AS15" s="99"/>
      <c r="AT15" s="100"/>
      <c r="AU15" s="101"/>
      <c r="AV15" s="97"/>
      <c r="AW15" s="99"/>
      <c r="AX15" s="100"/>
      <c r="AY15" s="101"/>
      <c r="AZ15" s="97"/>
      <c r="BA15" s="99"/>
      <c r="BB15" s="157"/>
      <c r="BC15" s="101"/>
      <c r="BD15" s="97"/>
      <c r="BE15" s="99"/>
      <c r="BF15" s="52">
        <f t="shared" si="0"/>
        <v>0</v>
      </c>
      <c r="BG15" s="32">
        <f t="shared" si="1"/>
        <v>0</v>
      </c>
      <c r="BH15" s="32">
        <f t="shared" si="2"/>
        <v>0</v>
      </c>
      <c r="BI15" s="53">
        <f t="shared" si="3"/>
        <v>0</v>
      </c>
      <c r="BJ15" s="32">
        <f t="shared" si="4"/>
        <v>0</v>
      </c>
      <c r="BK15" s="57">
        <v>10</v>
      </c>
      <c r="BL15" s="58"/>
      <c r="BM15" s="58"/>
    </row>
    <row r="16" spans="1:65" ht="15" x14ac:dyDescent="0.2">
      <c r="A16" s="61">
        <f>'протокол регистрации'!D15</f>
        <v>0</v>
      </c>
      <c r="B16" s="56" t="str">
        <f>'протокол регистрации'!B15</f>
        <v/>
      </c>
      <c r="C16" s="57" t="str">
        <f>'протокол регистрации'!C15</f>
        <v/>
      </c>
      <c r="D16" s="75"/>
      <c r="E16" s="54" t="str">
        <f t="shared" si="5"/>
        <v/>
      </c>
      <c r="F16" s="101"/>
      <c r="G16" s="97"/>
      <c r="H16" s="98"/>
      <c r="I16" s="99"/>
      <c r="J16" s="157"/>
      <c r="K16" s="97"/>
      <c r="L16" s="98"/>
      <c r="M16" s="99"/>
      <c r="N16" s="100"/>
      <c r="O16" s="97"/>
      <c r="P16" s="98"/>
      <c r="Q16" s="99"/>
      <c r="R16" s="100"/>
      <c r="S16" s="97"/>
      <c r="T16" s="98"/>
      <c r="U16" s="156"/>
      <c r="V16" s="100"/>
      <c r="W16" s="101"/>
      <c r="X16" s="97"/>
      <c r="Y16" s="99"/>
      <c r="Z16" s="100"/>
      <c r="AA16" s="101"/>
      <c r="AB16" s="97"/>
      <c r="AC16" s="99"/>
      <c r="AD16" s="100"/>
      <c r="AE16" s="101"/>
      <c r="AF16" s="97"/>
      <c r="AG16" s="99"/>
      <c r="AH16" s="100"/>
      <c r="AI16" s="101"/>
      <c r="AJ16" s="97"/>
      <c r="AK16" s="99"/>
      <c r="AL16" s="100"/>
      <c r="AM16" s="101"/>
      <c r="AN16" s="154"/>
      <c r="AO16" s="99"/>
      <c r="AP16" s="100"/>
      <c r="AQ16" s="153"/>
      <c r="AR16" s="97"/>
      <c r="AS16" s="99"/>
      <c r="AT16" s="100"/>
      <c r="AU16" s="101"/>
      <c r="AV16" s="97"/>
      <c r="AW16" s="99"/>
      <c r="AX16" s="100"/>
      <c r="AY16" s="101"/>
      <c r="AZ16" s="97"/>
      <c r="BA16" s="99"/>
      <c r="BB16" s="100"/>
      <c r="BC16" s="101"/>
      <c r="BD16" s="97"/>
      <c r="BE16" s="99"/>
      <c r="BF16" s="52">
        <f t="shared" si="0"/>
        <v>0</v>
      </c>
      <c r="BG16" s="32">
        <f t="shared" si="1"/>
        <v>0</v>
      </c>
      <c r="BH16" s="32">
        <f t="shared" si="2"/>
        <v>0</v>
      </c>
      <c r="BI16" s="53">
        <f t="shared" si="3"/>
        <v>0</v>
      </c>
      <c r="BJ16" s="32">
        <f t="shared" si="4"/>
        <v>0</v>
      </c>
      <c r="BK16" s="57">
        <v>11</v>
      </c>
      <c r="BL16" s="58"/>
      <c r="BM16" s="58"/>
    </row>
    <row r="17" spans="1:65" ht="15" x14ac:dyDescent="0.2">
      <c r="A17" s="61">
        <f>'протокол регистрации'!D16</f>
        <v>0</v>
      </c>
      <c r="B17" s="56" t="str">
        <f>'протокол регистрации'!B16</f>
        <v/>
      </c>
      <c r="C17" s="57" t="str">
        <f>'протокол регистрации'!C16</f>
        <v/>
      </c>
      <c r="D17" s="75"/>
      <c r="E17" s="54" t="str">
        <f t="shared" si="5"/>
        <v/>
      </c>
      <c r="F17" s="101"/>
      <c r="G17" s="97"/>
      <c r="H17" s="155"/>
      <c r="I17" s="99"/>
      <c r="J17" s="100"/>
      <c r="K17" s="97"/>
      <c r="L17" s="98"/>
      <c r="M17" s="99"/>
      <c r="N17" s="157"/>
      <c r="O17" s="97"/>
      <c r="P17" s="98"/>
      <c r="Q17" s="99"/>
      <c r="R17" s="100"/>
      <c r="S17" s="97"/>
      <c r="T17" s="98"/>
      <c r="U17" s="99"/>
      <c r="V17" s="100"/>
      <c r="W17" s="101"/>
      <c r="X17" s="97"/>
      <c r="Y17" s="99"/>
      <c r="Z17" s="100"/>
      <c r="AA17" s="101"/>
      <c r="AB17" s="97"/>
      <c r="AC17" s="99"/>
      <c r="AD17" s="100"/>
      <c r="AE17" s="101"/>
      <c r="AF17" s="97"/>
      <c r="AG17" s="99"/>
      <c r="AH17" s="100"/>
      <c r="AI17" s="101"/>
      <c r="AJ17" s="97"/>
      <c r="AK17" s="156"/>
      <c r="AL17" s="100"/>
      <c r="AM17" s="153"/>
      <c r="AN17" s="97"/>
      <c r="AO17" s="99"/>
      <c r="AP17" s="100"/>
      <c r="AQ17" s="101"/>
      <c r="AR17" s="97"/>
      <c r="AS17" s="99"/>
      <c r="AT17" s="100"/>
      <c r="AU17" s="101"/>
      <c r="AV17" s="97"/>
      <c r="AW17" s="99"/>
      <c r="AX17" s="100"/>
      <c r="AY17" s="101"/>
      <c r="AZ17" s="97"/>
      <c r="BA17" s="99"/>
      <c r="BB17" s="100"/>
      <c r="BC17" s="101"/>
      <c r="BD17" s="97"/>
      <c r="BE17" s="99"/>
      <c r="BF17" s="52">
        <f t="shared" si="0"/>
        <v>0</v>
      </c>
      <c r="BG17" s="32">
        <f t="shared" si="1"/>
        <v>0</v>
      </c>
      <c r="BH17" s="32">
        <f t="shared" si="2"/>
        <v>0</v>
      </c>
      <c r="BI17" s="53">
        <f t="shared" si="3"/>
        <v>0</v>
      </c>
      <c r="BJ17" s="32">
        <f t="shared" si="4"/>
        <v>0</v>
      </c>
      <c r="BK17" s="57">
        <v>12</v>
      </c>
      <c r="BL17" s="58"/>
      <c r="BM17" s="58"/>
    </row>
    <row r="18" spans="1:65" ht="15.75" thickBot="1" x14ac:dyDescent="0.25">
      <c r="A18" s="61">
        <f>'протокол регистрации'!D17</f>
        <v>0</v>
      </c>
      <c r="B18" s="49" t="str">
        <f>'протокол регистрации'!B17</f>
        <v/>
      </c>
      <c r="C18" s="48" t="str">
        <f>'протокол регистрации'!C17</f>
        <v/>
      </c>
      <c r="D18" s="76"/>
      <c r="E18" s="73" t="str">
        <f t="shared" si="5"/>
        <v/>
      </c>
      <c r="F18" s="101"/>
      <c r="G18" s="97"/>
      <c r="H18" s="98"/>
      <c r="I18" s="99"/>
      <c r="J18" s="100"/>
      <c r="K18" s="97"/>
      <c r="L18" s="98"/>
      <c r="M18" s="99"/>
      <c r="N18" s="100"/>
      <c r="O18" s="97"/>
      <c r="P18" s="98"/>
      <c r="Q18" s="99"/>
      <c r="R18" s="100"/>
      <c r="S18" s="97"/>
      <c r="T18" s="98"/>
      <c r="U18" s="99"/>
      <c r="V18" s="100"/>
      <c r="W18" s="101"/>
      <c r="X18" s="97"/>
      <c r="Y18" s="99"/>
      <c r="Z18" s="100"/>
      <c r="AA18" s="153"/>
      <c r="AB18" s="97"/>
      <c r="AC18" s="99"/>
      <c r="AD18" s="100"/>
      <c r="AE18" s="101"/>
      <c r="AF18" s="154"/>
      <c r="AG18" s="99"/>
      <c r="AH18" s="100"/>
      <c r="AI18" s="101"/>
      <c r="AJ18" s="97"/>
      <c r="AK18" s="99"/>
      <c r="AL18" s="157"/>
      <c r="AM18" s="101"/>
      <c r="AN18" s="97"/>
      <c r="AO18" s="99"/>
      <c r="AP18" s="100"/>
      <c r="AQ18" s="101"/>
      <c r="AR18" s="97"/>
      <c r="AS18" s="99"/>
      <c r="AT18" s="100"/>
      <c r="AU18" s="101"/>
      <c r="AV18" s="97"/>
      <c r="AW18" s="99"/>
      <c r="AX18" s="100"/>
      <c r="AY18" s="101"/>
      <c r="AZ18" s="97"/>
      <c r="BA18" s="156"/>
      <c r="BB18" s="100"/>
      <c r="BC18" s="101"/>
      <c r="BD18" s="97"/>
      <c r="BE18" s="99"/>
      <c r="BF18" s="52">
        <f t="shared" si="0"/>
        <v>0</v>
      </c>
      <c r="BG18" s="32">
        <f t="shared" si="1"/>
        <v>0</v>
      </c>
      <c r="BH18" s="32">
        <f t="shared" si="2"/>
        <v>0</v>
      </c>
      <c r="BI18" s="53">
        <f t="shared" si="3"/>
        <v>0</v>
      </c>
      <c r="BJ18" s="32">
        <f t="shared" si="4"/>
        <v>0</v>
      </c>
      <c r="BK18" s="57">
        <v>13</v>
      </c>
      <c r="BL18" s="58"/>
      <c r="BM18" s="58"/>
    </row>
  </sheetData>
  <mergeCells count="34">
    <mergeCell ref="A3:A5"/>
    <mergeCell ref="B3:B5"/>
    <mergeCell ref="C3:C5"/>
    <mergeCell ref="F3:I3"/>
    <mergeCell ref="J3:M3"/>
    <mergeCell ref="N3:Q3"/>
    <mergeCell ref="F4:I4"/>
    <mergeCell ref="J4:M4"/>
    <mergeCell ref="N4:Q4"/>
    <mergeCell ref="D3:E3"/>
    <mergeCell ref="D4:D5"/>
    <mergeCell ref="E4:E5"/>
    <mergeCell ref="R3:U3"/>
    <mergeCell ref="V3:Y3"/>
    <mergeCell ref="Z3:AC3"/>
    <mergeCell ref="AD3:AG3"/>
    <mergeCell ref="AH3:AK3"/>
    <mergeCell ref="BF3:BK4"/>
    <mergeCell ref="BL3:BM3"/>
    <mergeCell ref="AP4:AS4"/>
    <mergeCell ref="AT4:AW4"/>
    <mergeCell ref="AX4:BA4"/>
    <mergeCell ref="BB4:BE4"/>
    <mergeCell ref="BB3:BE3"/>
    <mergeCell ref="AL4:AO4"/>
    <mergeCell ref="AP3:AS3"/>
    <mergeCell ref="AT3:AW3"/>
    <mergeCell ref="AX3:BA3"/>
    <mergeCell ref="AL3:AO3"/>
    <mergeCell ref="R4:U4"/>
    <mergeCell ref="V4:Y4"/>
    <mergeCell ref="Z4:AC4"/>
    <mergeCell ref="AD4:AG4"/>
    <mergeCell ref="AH4:AK4"/>
  </mergeCells>
  <conditionalFormatting sqref="Y6:Y18 AC6:AC18 AG6:AG18 AK6:AK18 AO6:AO18 AS6:AS18 AW6:AW18 BA6:BA18 BE6:BE18">
    <cfRule type="expression" dxfId="27" priority="1" stopIfTrue="1">
      <formula>X6=0</formula>
    </cfRule>
  </conditionalFormatting>
  <conditionalFormatting sqref="I6:I18 Q6:Q18 U6:U18 M6:M18">
    <cfRule type="expression" dxfId="26" priority="2" stopIfTrue="1">
      <formula>G6=0</formula>
    </cfRule>
  </conditionalFormatting>
  <conditionalFormatting sqref="BF6:BI18">
    <cfRule type="expression" dxfId="25" priority="3" stopIfTrue="1">
      <formula>#REF!=0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5"/>
  <sheetViews>
    <sheetView workbookViewId="0">
      <selection activeCell="D20" sqref="D20"/>
    </sheetView>
  </sheetViews>
  <sheetFormatPr defaultRowHeight="12.75" x14ac:dyDescent="0.2"/>
  <cols>
    <col min="1" max="1" width="6.5703125" customWidth="1"/>
    <col min="2" max="2" width="13.5703125" customWidth="1"/>
    <col min="3" max="3" width="23.5703125" customWidth="1"/>
    <col min="4" max="4" width="22.7109375" customWidth="1"/>
  </cols>
  <sheetData>
    <row r="1" spans="1:6" ht="18.75" x14ac:dyDescent="0.3">
      <c r="A1" s="10"/>
      <c r="B1" s="11" t="str">
        <f>'протокол регистрации'!A1</f>
        <v>Открытое спортивное мероприятие по ледовым гонкам 1 этап</v>
      </c>
      <c r="C1" s="10"/>
      <c r="D1" s="10"/>
      <c r="E1" s="12"/>
      <c r="F1" s="10"/>
    </row>
    <row r="2" spans="1:6" x14ac:dyDescent="0.2">
      <c r="A2" s="13"/>
      <c r="B2" s="13" t="str">
        <f>'протокол регистрации'!G2</f>
        <v>Полярные Зори</v>
      </c>
      <c r="C2" s="13"/>
      <c r="D2" s="14">
        <f>'протокол регистрации'!H1</f>
        <v>42400</v>
      </c>
      <c r="E2" s="13"/>
      <c r="F2" s="15"/>
    </row>
    <row r="3" spans="1:6" ht="14.25" x14ac:dyDescent="0.2">
      <c r="C3" s="3" t="s">
        <v>21</v>
      </c>
      <c r="D3" s="16"/>
      <c r="E3" s="17"/>
    </row>
    <row r="4" spans="1:6" ht="15" thickBot="1" x14ac:dyDescent="0.25">
      <c r="A4" s="115"/>
      <c r="B4" s="5" t="s">
        <v>1</v>
      </c>
      <c r="C4" s="5" t="s">
        <v>22</v>
      </c>
      <c r="D4" s="18" t="s">
        <v>23</v>
      </c>
      <c r="E4" s="5" t="s">
        <v>24</v>
      </c>
      <c r="F4" s="5" t="s">
        <v>25</v>
      </c>
    </row>
    <row r="5" spans="1:6" ht="16.5" thickTop="1" x14ac:dyDescent="0.25">
      <c r="B5" s="19"/>
      <c r="C5" s="20" t="s">
        <v>115</v>
      </c>
      <c r="D5" s="21"/>
      <c r="E5" s="22"/>
      <c r="F5" s="22"/>
    </row>
    <row r="6" spans="1:6" ht="18.75" x14ac:dyDescent="0.3">
      <c r="A6" s="23">
        <v>1</v>
      </c>
      <c r="B6" s="8" t="str">
        <f>INDEX(Д2Н!$B$7:$B$26,MATCH(1,Д2Н!$Q$7:$Q$26,0))</f>
        <v>Роман</v>
      </c>
      <c r="C6" s="8" t="str">
        <f>INDEX(Д2Н!$C$7:$C$26,MATCH(1,Д2Н!$Q$7:$Q$26,0))</f>
        <v>Румачик</v>
      </c>
      <c r="D6" s="8" t="str">
        <f>INDEX('протокол регистрации'!$F$5:$F$24,MATCH(E6,Д2Н!$D$7:$D$26,1))</f>
        <v>лично</v>
      </c>
      <c r="E6" s="8">
        <f>INDEX(Д2Н!$D$7:$D$26,MATCH(1,Д2Н!$Q$7:$Q$26,0))</f>
        <v>39</v>
      </c>
      <c r="F6" s="24" t="s">
        <v>18</v>
      </c>
    </row>
    <row r="7" spans="1:6" ht="18.75" x14ac:dyDescent="0.3">
      <c r="A7" s="23">
        <v>2</v>
      </c>
      <c r="B7" s="8" t="str">
        <f>INDEX(Д2Н!$B$7:$B$26,MATCH(2,Д2Н!$Q$7:$Q$26,0))</f>
        <v>Антон</v>
      </c>
      <c r="C7" s="8" t="str">
        <f>INDEX(Д2Н!$C$7:$C$26,MATCH(2,Д2Н!$Q$7:$Q$26,0))</f>
        <v>Ильницкий</v>
      </c>
      <c r="D7" s="8" t="str">
        <f>INDEX('протокол регистрации'!$F$5:$F$24,MATCH(E7,Д2Н!$D$7:$D$26,1))</f>
        <v>лично</v>
      </c>
      <c r="E7" s="8">
        <f>INDEX(Д2Н!$D$7:$D$26,MATCH(2,Д2Н!$Q$7:$Q$26,0))</f>
        <v>63</v>
      </c>
      <c r="F7" s="24" t="s">
        <v>19</v>
      </c>
    </row>
    <row r="8" spans="1:6" ht="18.75" x14ac:dyDescent="0.3">
      <c r="A8" s="110">
        <v>3</v>
      </c>
      <c r="B8" s="8" t="str">
        <f>INDEX(Д2Н!$B$7:$B$26,MATCH(3,Д2Н!$Q$7:$Q$26,0))</f>
        <v>Антон</v>
      </c>
      <c r="C8" s="8" t="str">
        <f>INDEX(Д2Н!$C$7:$C$26,MATCH(3,Д2Н!$Q$7:$Q$26,0))</f>
        <v>Тихонов</v>
      </c>
      <c r="D8" s="8" t="str">
        <f>INDEX('протокол регистрации'!$F$5:$F$24,MATCH(E8,Д2Н!$D$7:$D$26,1))</f>
        <v>лично</v>
      </c>
      <c r="E8" s="8">
        <f>INDEX(Д2Н!$D$7:$D$26,MATCH(3,Д2Н!$Q$7:$Q$26,0))</f>
        <v>50</v>
      </c>
      <c r="F8" s="111" t="s">
        <v>20</v>
      </c>
    </row>
    <row r="9" spans="1:6" ht="16.5" thickBot="1" x14ac:dyDescent="0.3">
      <c r="A9" s="114"/>
      <c r="B9" s="8"/>
      <c r="C9" s="8"/>
      <c r="D9" s="8"/>
      <c r="E9" s="8"/>
      <c r="F9" s="113"/>
    </row>
    <row r="10" spans="1:6" ht="16.5" thickTop="1" x14ac:dyDescent="0.25">
      <c r="B10" s="19"/>
      <c r="C10" s="20">
        <v>2000</v>
      </c>
      <c r="D10" s="21"/>
      <c r="E10" s="20"/>
      <c r="F10" s="112"/>
    </row>
    <row r="11" spans="1:6" ht="18.75" x14ac:dyDescent="0.3">
      <c r="A11" s="23">
        <v>1</v>
      </c>
      <c r="B11" s="8" t="s">
        <v>43</v>
      </c>
      <c r="C11" s="8" t="s">
        <v>54</v>
      </c>
      <c r="D11" s="8" t="s">
        <v>122</v>
      </c>
      <c r="E11" s="8">
        <v>39</v>
      </c>
      <c r="F11" s="24" t="s">
        <v>18</v>
      </c>
    </row>
    <row r="12" spans="1:6" ht="18.75" x14ac:dyDescent="0.3">
      <c r="A12" s="23">
        <v>2</v>
      </c>
      <c r="B12" s="8" t="s">
        <v>43</v>
      </c>
      <c r="C12" s="8" t="s">
        <v>124</v>
      </c>
      <c r="D12" s="8" t="s">
        <v>122</v>
      </c>
      <c r="E12" s="8">
        <v>50</v>
      </c>
      <c r="F12" s="24" t="s">
        <v>19</v>
      </c>
    </row>
    <row r="13" spans="1:6" ht="18.75" x14ac:dyDescent="0.3">
      <c r="A13" s="23">
        <v>3</v>
      </c>
      <c r="B13" s="8" t="s">
        <v>40</v>
      </c>
      <c r="C13" s="8" t="s">
        <v>125</v>
      </c>
      <c r="D13" s="8" t="s">
        <v>122</v>
      </c>
      <c r="E13" s="8">
        <v>7</v>
      </c>
      <c r="F13" s="24" t="s">
        <v>20</v>
      </c>
    </row>
    <row r="14" spans="1:6" ht="16.5" thickBot="1" x14ac:dyDescent="0.3">
      <c r="A14" s="116"/>
      <c r="B14" s="116"/>
      <c r="C14" s="116"/>
      <c r="D14" s="117"/>
      <c r="E14" s="118"/>
      <c r="F14" s="119"/>
    </row>
    <row r="15" spans="1:6" ht="13.5" thickTop="1" x14ac:dyDescent="0.2"/>
  </sheetData>
  <phoneticPr fontId="17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4"/>
  <sheetViews>
    <sheetView workbookViewId="0">
      <selection activeCell="K12" sqref="K12"/>
    </sheetView>
  </sheetViews>
  <sheetFormatPr defaultRowHeight="12.75" x14ac:dyDescent="0.2"/>
  <cols>
    <col min="1" max="1" width="6.5703125" customWidth="1"/>
    <col min="3" max="3" width="6.140625" customWidth="1"/>
    <col min="4" max="4" width="11.140625" customWidth="1"/>
    <col min="5" max="5" width="9.85546875" customWidth="1"/>
    <col min="6" max="6" width="11" customWidth="1"/>
    <col min="7" max="7" width="10.140625" bestFit="1" customWidth="1"/>
    <col min="8" max="8" width="12.140625" bestFit="1" customWidth="1"/>
  </cols>
  <sheetData>
    <row r="1" spans="1:8" ht="15.75" x14ac:dyDescent="0.25">
      <c r="A1" s="229" t="str">
        <f>'протокол регистрации'!A1</f>
        <v>Открытое спортивное мероприятие по ледовым гонкам 1 этап</v>
      </c>
      <c r="B1" s="230"/>
      <c r="C1" s="230"/>
      <c r="D1" s="230"/>
      <c r="E1" s="230"/>
      <c r="F1" s="230"/>
      <c r="G1" s="230"/>
      <c r="H1" s="230"/>
    </row>
    <row r="2" spans="1:8" x14ac:dyDescent="0.2">
      <c r="B2" s="13" t="str">
        <f>'протокол регистрации'!G2</f>
        <v>Полярные Зори</v>
      </c>
      <c r="C2" s="13"/>
      <c r="F2" s="14">
        <f>'протокол регистрации'!H1</f>
        <v>42400</v>
      </c>
    </row>
    <row r="3" spans="1:8" x14ac:dyDescent="0.2">
      <c r="A3" s="9" t="s">
        <v>9</v>
      </c>
      <c r="B3" s="9" t="s">
        <v>4</v>
      </c>
      <c r="C3" s="9" t="s">
        <v>26</v>
      </c>
      <c r="D3" s="9" t="s">
        <v>1</v>
      </c>
      <c r="E3" s="9" t="s">
        <v>22</v>
      </c>
      <c r="F3" s="9" t="s">
        <v>27</v>
      </c>
      <c r="G3" s="228" t="s">
        <v>28</v>
      </c>
      <c r="H3" s="228"/>
    </row>
    <row r="4" spans="1:8" x14ac:dyDescent="0.2">
      <c r="A4" s="9"/>
      <c r="B4" s="9"/>
      <c r="C4" s="9"/>
      <c r="D4" s="9"/>
      <c r="E4" s="9"/>
      <c r="F4" s="9"/>
      <c r="G4" s="32" t="s">
        <v>17</v>
      </c>
      <c r="H4" s="32" t="s">
        <v>12</v>
      </c>
    </row>
    <row r="5" spans="1:8" x14ac:dyDescent="0.2">
      <c r="A5" s="227" t="s">
        <v>29</v>
      </c>
      <c r="B5" s="228"/>
      <c r="C5" s="228"/>
      <c r="D5" s="227"/>
      <c r="E5" s="227"/>
      <c r="F5" s="227"/>
      <c r="G5" s="227"/>
      <c r="H5" s="9"/>
    </row>
    <row r="6" spans="1:8" ht="18.75" x14ac:dyDescent="0.3">
      <c r="A6" s="9">
        <v>1</v>
      </c>
      <c r="B6" s="164" t="s">
        <v>115</v>
      </c>
      <c r="C6" s="163"/>
      <c r="D6" s="162" t="e">
        <f>INDEX(Д2Н!$B$7:$B$26,MATCH(C6,Д2Н!$D$7:$D$26),0)</f>
        <v>#N/A</v>
      </c>
      <c r="E6" s="162" t="e">
        <f>INDEX(Д2Н!$C$7:$C$26,MATCH(C6,Д2Н!$D$7:$D$26),0)</f>
        <v>#N/A</v>
      </c>
      <c r="F6" s="162" t="e">
        <f>INDEX(Д2Н!$P$7:$P$26,MATCH(C6,Д2Н!$D$7:$D$26),0)</f>
        <v>#N/A</v>
      </c>
      <c r="G6" s="223" t="e">
        <f>SUM(F6:F8)</f>
        <v>#N/A</v>
      </c>
      <c r="H6" s="226" t="e">
        <f>RANK(G6,$G$6:$G$23,1)</f>
        <v>#N/A</v>
      </c>
    </row>
    <row r="7" spans="1:8" ht="18.75" x14ac:dyDescent="0.3">
      <c r="A7" s="9">
        <v>2</v>
      </c>
      <c r="B7" s="164" t="s">
        <v>115</v>
      </c>
      <c r="C7" s="163"/>
      <c r="D7" s="162" t="e">
        <f>INDEX(Д2Н!$B$7:$B$26,MATCH(C7,Д2Н!$D$7:$D$26),0)</f>
        <v>#N/A</v>
      </c>
      <c r="E7" s="162" t="e">
        <f>INDEX(Д2Н!$C$7:$C$26,MATCH(C7,Д2Н!$D$7:$D$26),0)</f>
        <v>#N/A</v>
      </c>
      <c r="F7" s="162" t="e">
        <f>INDEX(Д2Н!$P$7:$P$26,MATCH(C7,Д2Н!$D$7:$D$26),0)</f>
        <v>#N/A</v>
      </c>
      <c r="G7" s="224"/>
      <c r="H7" s="226"/>
    </row>
    <row r="8" spans="1:8" ht="18.75" x14ac:dyDescent="0.3">
      <c r="A8" s="9">
        <v>3</v>
      </c>
      <c r="B8" s="164">
        <v>2000</v>
      </c>
      <c r="C8" s="163"/>
      <c r="D8" s="162" t="e">
        <f>INDEX('2000'!$B$7:$B$26,MATCH(C8,'2000'!$D$7:$D$26),0)</f>
        <v>#N/A</v>
      </c>
      <c r="E8" s="162" t="e">
        <f>INDEX('2000'!$B$7:$B$26,MATCH(C8,'2000'!$D$7:$D$26),0)</f>
        <v>#N/A</v>
      </c>
      <c r="F8" s="162" t="e">
        <f>INDEX('2000'!$B$7:$B$26,MATCH(C8,'2000'!$D$7:$D$26),0)</f>
        <v>#N/A</v>
      </c>
      <c r="G8" s="225"/>
      <c r="H8" s="226"/>
    </row>
    <row r="9" spans="1:8" x14ac:dyDescent="0.2">
      <c r="A9" s="9"/>
      <c r="B9" s="9"/>
      <c r="C9" s="9"/>
      <c r="D9" s="9"/>
      <c r="E9" s="9"/>
      <c r="F9" s="9"/>
      <c r="G9" s="9"/>
      <c r="H9" s="9"/>
    </row>
    <row r="10" spans="1:8" x14ac:dyDescent="0.2">
      <c r="A10" s="227" t="s">
        <v>29</v>
      </c>
      <c r="B10" s="228"/>
      <c r="C10" s="228"/>
      <c r="D10" s="227"/>
      <c r="E10" s="227"/>
      <c r="F10" s="227"/>
      <c r="G10" s="9"/>
      <c r="H10" s="9"/>
    </row>
    <row r="11" spans="1:8" ht="18.75" customHeight="1" x14ac:dyDescent="0.3">
      <c r="A11" s="9">
        <v>1</v>
      </c>
      <c r="B11" s="164" t="s">
        <v>115</v>
      </c>
      <c r="C11" s="163"/>
      <c r="D11" s="162" t="e">
        <f>INDEX(Д2Н!$B$7:$B$26,MATCH(C11,Д2Н!$D$7:$D$26),0)</f>
        <v>#N/A</v>
      </c>
      <c r="E11" s="162" t="e">
        <f>INDEX(Д2Н!$B$7:$B$26,MATCH(C11,Д2Н!$D$7:$D$26),0)</f>
        <v>#N/A</v>
      </c>
      <c r="F11" s="162" t="e">
        <f>INDEX(Д2Н!$B$7:$B$26,MATCH(C11,Д2Н!$D$7:$D$26),0)</f>
        <v>#N/A</v>
      </c>
      <c r="G11" s="223" t="e">
        <f>SUM(F11:F13)</f>
        <v>#N/A</v>
      </c>
      <c r="H11" s="226" t="e">
        <f>RANK(G11,$G$6:$G$23,1)</f>
        <v>#N/A</v>
      </c>
    </row>
    <row r="12" spans="1:8" ht="18.75" customHeight="1" x14ac:dyDescent="0.3">
      <c r="A12" s="9">
        <v>2</v>
      </c>
      <c r="B12" s="164" t="s">
        <v>115</v>
      </c>
      <c r="C12" s="163"/>
      <c r="D12" s="162" t="e">
        <f>INDEX(Д2Н!$B$7:$B$26,MATCH(C12,Д2Н!$D$7:$D$26),0)</f>
        <v>#N/A</v>
      </c>
      <c r="E12" s="162" t="e">
        <f>INDEX(Д2Н!$B$7:$B$26,MATCH(C12,Д2Н!$D$7:$D$26),0)</f>
        <v>#N/A</v>
      </c>
      <c r="F12" s="162" t="e">
        <f>INDEX(Д2Н!$B$7:$B$26,MATCH(C12,Д2Н!$D$7:$D$26),0)</f>
        <v>#N/A</v>
      </c>
      <c r="G12" s="224"/>
      <c r="H12" s="226"/>
    </row>
    <row r="13" spans="1:8" ht="18.75" customHeight="1" x14ac:dyDescent="0.3">
      <c r="A13" s="9">
        <v>3</v>
      </c>
      <c r="B13" s="164">
        <v>2000</v>
      </c>
      <c r="C13" s="163"/>
      <c r="D13" s="162" t="e">
        <f>INDEX('2000'!$B$7:$B$26,MATCH(C13,'2000'!$D$7:$D$26),0)</f>
        <v>#N/A</v>
      </c>
      <c r="E13" s="162" t="e">
        <f>INDEX('2000'!$B$7:$B$26,MATCH(C13,'2000'!$D$7:$D$26),0)</f>
        <v>#N/A</v>
      </c>
      <c r="F13" s="162" t="e">
        <f>INDEX('2000'!$B$7:$B$26,MATCH(C13,'2000'!$D$7:$D$26),0)</f>
        <v>#N/A</v>
      </c>
      <c r="G13" s="225"/>
      <c r="H13" s="226"/>
    </row>
    <row r="14" spans="1:8" x14ac:dyDescent="0.2">
      <c r="A14" s="9"/>
      <c r="B14" s="9"/>
      <c r="C14" s="9"/>
      <c r="D14" s="9"/>
      <c r="E14" s="9"/>
      <c r="F14" s="9"/>
      <c r="G14" s="9"/>
      <c r="H14" s="9"/>
    </row>
    <row r="15" spans="1:8" x14ac:dyDescent="0.2">
      <c r="A15" s="227" t="s">
        <v>29</v>
      </c>
      <c r="B15" s="228"/>
      <c r="C15" s="228"/>
      <c r="D15" s="227"/>
      <c r="E15" s="227"/>
      <c r="F15" s="227"/>
      <c r="G15" s="9"/>
      <c r="H15" s="9"/>
    </row>
    <row r="16" spans="1:8" ht="18.75" customHeight="1" x14ac:dyDescent="0.3">
      <c r="A16" s="9">
        <v>1</v>
      </c>
      <c r="B16" s="164" t="s">
        <v>115</v>
      </c>
      <c r="C16" s="163"/>
      <c r="D16" s="162" t="e">
        <f>INDEX(Д2Н!$B$7:$B$26,MATCH(C16,Д2Н!$D$7:$D$26),0)</f>
        <v>#N/A</v>
      </c>
      <c r="E16" s="162" t="e">
        <f>INDEX(Д2Н!$B$7:$B$26,MATCH(C16,Д2Н!$D$7:$D$26),0)</f>
        <v>#N/A</v>
      </c>
      <c r="F16" s="162" t="e">
        <f>INDEX(Д2Н!$B$7:$B$26,MATCH(C16,Д2Н!$D$7:$D$26),0)</f>
        <v>#N/A</v>
      </c>
      <c r="G16" s="223" t="e">
        <f>SUM(F16:F18)</f>
        <v>#N/A</v>
      </c>
      <c r="H16" s="226" t="e">
        <f>RANK(G16,$G$6:$G$23,1)</f>
        <v>#N/A</v>
      </c>
    </row>
    <row r="17" spans="1:8" ht="18.75" customHeight="1" x14ac:dyDescent="0.3">
      <c r="A17" s="9">
        <v>2</v>
      </c>
      <c r="B17" s="164" t="s">
        <v>115</v>
      </c>
      <c r="C17" s="163"/>
      <c r="D17" s="162" t="e">
        <f>INDEX(Д2Н!$B$7:$B$26,MATCH(C17,Д2Н!$D$7:$D$26),0)</f>
        <v>#N/A</v>
      </c>
      <c r="E17" s="162" t="e">
        <f>INDEX(Д2Н!$B$7:$B$26,MATCH(C17,Д2Н!$D$7:$D$26),0)</f>
        <v>#N/A</v>
      </c>
      <c r="F17" s="162" t="e">
        <f>INDEX(Д2Н!$B$7:$B$26,MATCH(C17,Д2Н!$D$7:$D$26),0)</f>
        <v>#N/A</v>
      </c>
      <c r="G17" s="224"/>
      <c r="H17" s="226"/>
    </row>
    <row r="18" spans="1:8" ht="18.75" customHeight="1" x14ac:dyDescent="0.3">
      <c r="A18" s="9">
        <v>3</v>
      </c>
      <c r="B18" s="164">
        <v>2000</v>
      </c>
      <c r="C18" s="163"/>
      <c r="D18" s="162" t="e">
        <f>INDEX('2000'!$B$7:$B$26,MATCH(C18,'2000'!$D$7:$D$26),0)</f>
        <v>#N/A</v>
      </c>
      <c r="E18" s="162" t="e">
        <f>INDEX('2000'!$B$7:$B$26,MATCH(C18,'2000'!$D$7:$D$26),0)</f>
        <v>#N/A</v>
      </c>
      <c r="F18" s="162" t="e">
        <f>INDEX('2000'!$B$7:$B$26,MATCH(C18,'2000'!$D$7:$D$26),0)</f>
        <v>#N/A</v>
      </c>
      <c r="G18" s="225"/>
      <c r="H18" s="226"/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227" t="s">
        <v>29</v>
      </c>
      <c r="B20" s="228"/>
      <c r="C20" s="228"/>
      <c r="D20" s="227"/>
      <c r="E20" s="227"/>
      <c r="F20" s="227"/>
      <c r="G20" s="9"/>
      <c r="H20" s="9"/>
    </row>
    <row r="21" spans="1:8" ht="18.75" customHeight="1" x14ac:dyDescent="0.3">
      <c r="A21" s="9">
        <v>1</v>
      </c>
      <c r="B21" s="164" t="s">
        <v>115</v>
      </c>
      <c r="C21" s="163"/>
      <c r="D21" s="162" t="e">
        <f>INDEX(Д2Н!$B$7:$B$26,MATCH(C21,Д2Н!$D$7:$D$26),0)</f>
        <v>#N/A</v>
      </c>
      <c r="E21" s="162" t="e">
        <f>INDEX(Д2Н!$B$7:$B$26,MATCH(C21,Д2Н!$D$7:$D$26),0)</f>
        <v>#N/A</v>
      </c>
      <c r="F21" s="162" t="e">
        <f>INDEX(Д2Н!$B$7:$B$26,MATCH(C21,Д2Н!$D$7:$D$26),0)</f>
        <v>#N/A</v>
      </c>
      <c r="G21" s="223" t="e">
        <f>SUM(F21:F23)</f>
        <v>#N/A</v>
      </c>
      <c r="H21" s="226" t="e">
        <f>RANK(G21,$G$6:$G$23,1)</f>
        <v>#N/A</v>
      </c>
    </row>
    <row r="22" spans="1:8" ht="18.75" customHeight="1" x14ac:dyDescent="0.3">
      <c r="A22" s="9">
        <v>2</v>
      </c>
      <c r="B22" s="164" t="s">
        <v>115</v>
      </c>
      <c r="C22" s="163"/>
      <c r="D22" s="162" t="e">
        <f>INDEX(Д2Н!$B$7:$B$26,MATCH(C22,Д2Н!$D$7:$D$26),0)</f>
        <v>#N/A</v>
      </c>
      <c r="E22" s="162" t="e">
        <f>INDEX(Д2Н!$B$7:$B$26,MATCH(C22,Д2Н!$D$7:$D$26),0)</f>
        <v>#N/A</v>
      </c>
      <c r="F22" s="162" t="e">
        <f>INDEX(Д2Н!$B$7:$B$26,MATCH(C22,Д2Н!$D$7:$D$26),0)</f>
        <v>#N/A</v>
      </c>
      <c r="G22" s="224"/>
      <c r="H22" s="226"/>
    </row>
    <row r="23" spans="1:8" ht="18.75" customHeight="1" x14ac:dyDescent="0.3">
      <c r="A23" s="9">
        <v>3</v>
      </c>
      <c r="B23" s="164">
        <v>2000</v>
      </c>
      <c r="C23" s="163"/>
      <c r="D23" s="162" t="e">
        <f>INDEX('2000'!$B$7:$B$26,MATCH(C23,'2000'!$D$7:$D$26),0)</f>
        <v>#N/A</v>
      </c>
      <c r="E23" s="162" t="e">
        <f>INDEX('2000'!$B$7:$B$26,MATCH(C23,'2000'!$D$7:$D$26),0)</f>
        <v>#N/A</v>
      </c>
      <c r="F23" s="162" t="e">
        <f>INDEX('2000'!$B$7:$B$26,MATCH(C23,'2000'!$D$7:$D$26),0)</f>
        <v>#N/A</v>
      </c>
      <c r="G23" s="225"/>
      <c r="H23" s="226"/>
    </row>
    <row r="24" spans="1:8" x14ac:dyDescent="0.2">
      <c r="A24" s="9"/>
      <c r="B24" s="9"/>
      <c r="C24" s="9"/>
      <c r="D24" s="9"/>
      <c r="E24" s="9"/>
      <c r="F24" s="9"/>
      <c r="G24" s="9"/>
      <c r="H24" s="9"/>
    </row>
  </sheetData>
  <mergeCells count="18">
    <mergeCell ref="D10:F10"/>
    <mergeCell ref="G6:G8"/>
    <mergeCell ref="G21:G23"/>
    <mergeCell ref="H21:H23"/>
    <mergeCell ref="A20:C20"/>
    <mergeCell ref="D20:F20"/>
    <mergeCell ref="A1:H1"/>
    <mergeCell ref="A15:C15"/>
    <mergeCell ref="D15:F15"/>
    <mergeCell ref="G16:G18"/>
    <mergeCell ref="H16:H18"/>
    <mergeCell ref="G11:G13"/>
    <mergeCell ref="H6:H8"/>
    <mergeCell ref="H11:H13"/>
    <mergeCell ref="G3:H3"/>
    <mergeCell ref="A5:C5"/>
    <mergeCell ref="D5:G5"/>
    <mergeCell ref="A10:C10"/>
  </mergeCells>
  <phoneticPr fontId="17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T22"/>
  <sheetViews>
    <sheetView workbookViewId="0">
      <selection activeCell="I9" sqref="I9"/>
    </sheetView>
  </sheetViews>
  <sheetFormatPr defaultRowHeight="12.75" x14ac:dyDescent="0.2"/>
  <sheetData>
    <row r="1" spans="1:20" x14ac:dyDescent="0.2">
      <c r="B1" s="183" t="s">
        <v>32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25.5" x14ac:dyDescent="0.2">
      <c r="A2" s="35" t="s">
        <v>31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  <c r="G2" s="34">
        <v>7</v>
      </c>
      <c r="H2" s="34">
        <v>8</v>
      </c>
      <c r="I2" s="34">
        <v>9</v>
      </c>
      <c r="J2" s="34">
        <v>10</v>
      </c>
      <c r="K2" s="34">
        <v>11</v>
      </c>
      <c r="L2" s="34">
        <v>12</v>
      </c>
      <c r="M2" s="34">
        <v>13</v>
      </c>
      <c r="N2" s="34">
        <v>14</v>
      </c>
      <c r="O2" s="34">
        <v>15</v>
      </c>
      <c r="P2" s="34">
        <v>16</v>
      </c>
      <c r="Q2" s="34">
        <v>17</v>
      </c>
      <c r="R2" s="34">
        <v>18</v>
      </c>
      <c r="S2" s="34">
        <v>19</v>
      </c>
      <c r="T2" s="34">
        <v>20</v>
      </c>
    </row>
    <row r="3" spans="1:20" x14ac:dyDescent="0.2">
      <c r="A3" s="34">
        <v>1</v>
      </c>
      <c r="B3" s="34">
        <v>20</v>
      </c>
      <c r="C3" s="34">
        <v>30</v>
      </c>
      <c r="D3" s="34">
        <v>40</v>
      </c>
      <c r="E3" s="34">
        <v>50</v>
      </c>
      <c r="F3" s="34">
        <v>60</v>
      </c>
      <c r="G3" s="34">
        <v>70</v>
      </c>
      <c r="H3" s="34">
        <v>80</v>
      </c>
      <c r="I3" s="34">
        <v>90</v>
      </c>
      <c r="J3" s="34">
        <v>100</v>
      </c>
      <c r="K3" s="34">
        <v>100</v>
      </c>
      <c r="L3" s="34">
        <v>100</v>
      </c>
      <c r="M3" s="34">
        <v>100</v>
      </c>
      <c r="N3" s="34">
        <v>100</v>
      </c>
      <c r="O3" s="34">
        <v>100</v>
      </c>
      <c r="P3" s="34">
        <v>100</v>
      </c>
      <c r="Q3" s="34">
        <v>100</v>
      </c>
      <c r="R3" s="34">
        <v>100</v>
      </c>
      <c r="S3" s="34">
        <v>100</v>
      </c>
      <c r="T3" s="34">
        <v>100</v>
      </c>
    </row>
    <row r="4" spans="1:20" x14ac:dyDescent="0.2">
      <c r="A4" s="34">
        <v>2</v>
      </c>
      <c r="B4" s="34">
        <v>1</v>
      </c>
      <c r="C4" s="34">
        <v>14</v>
      </c>
      <c r="D4" s="34">
        <v>24</v>
      </c>
      <c r="E4" s="34">
        <v>34</v>
      </c>
      <c r="F4" s="34">
        <v>43</v>
      </c>
      <c r="G4" s="34">
        <v>53</v>
      </c>
      <c r="H4" s="34">
        <v>62</v>
      </c>
      <c r="I4" s="34">
        <v>72</v>
      </c>
      <c r="J4" s="34">
        <v>81</v>
      </c>
      <c r="K4" s="34">
        <v>82</v>
      </c>
      <c r="L4" s="34">
        <v>83</v>
      </c>
      <c r="M4" s="34">
        <v>84</v>
      </c>
      <c r="N4" s="34">
        <v>85</v>
      </c>
      <c r="O4" s="34">
        <v>86</v>
      </c>
      <c r="P4" s="34">
        <v>86</v>
      </c>
      <c r="Q4" s="34">
        <v>87</v>
      </c>
      <c r="R4" s="34">
        <v>87</v>
      </c>
      <c r="S4" s="34">
        <v>88</v>
      </c>
      <c r="T4" s="34">
        <v>88</v>
      </c>
    </row>
    <row r="5" spans="1:20" x14ac:dyDescent="0.2">
      <c r="A5" s="34">
        <v>3</v>
      </c>
      <c r="B5" s="34"/>
      <c r="C5" s="34">
        <v>1</v>
      </c>
      <c r="D5" s="34">
        <v>11</v>
      </c>
      <c r="E5" s="34">
        <v>21</v>
      </c>
      <c r="F5" s="34">
        <v>30</v>
      </c>
      <c r="G5" s="34">
        <v>39</v>
      </c>
      <c r="H5" s="34">
        <v>48</v>
      </c>
      <c r="I5" s="34">
        <v>57</v>
      </c>
      <c r="J5" s="34">
        <v>66</v>
      </c>
      <c r="K5" s="34">
        <v>69</v>
      </c>
      <c r="L5" s="34">
        <v>71</v>
      </c>
      <c r="M5" s="34">
        <v>72</v>
      </c>
      <c r="N5" s="34">
        <v>74</v>
      </c>
      <c r="O5" s="34">
        <v>75</v>
      </c>
      <c r="P5" s="34">
        <v>76</v>
      </c>
      <c r="Q5" s="34">
        <v>77</v>
      </c>
      <c r="R5" s="34">
        <v>78</v>
      </c>
      <c r="S5" s="34">
        <v>78</v>
      </c>
      <c r="T5" s="34">
        <v>79</v>
      </c>
    </row>
    <row r="6" spans="1:20" x14ac:dyDescent="0.2">
      <c r="A6" s="34">
        <v>4</v>
      </c>
      <c r="B6" s="34"/>
      <c r="C6" s="34"/>
      <c r="D6" s="34">
        <v>1</v>
      </c>
      <c r="E6" s="34">
        <v>10</v>
      </c>
      <c r="F6" s="34">
        <v>19</v>
      </c>
      <c r="G6" s="34">
        <v>28</v>
      </c>
      <c r="H6" s="34">
        <v>37</v>
      </c>
      <c r="I6" s="34">
        <v>46</v>
      </c>
      <c r="J6" s="34">
        <v>54</v>
      </c>
      <c r="K6" s="34">
        <v>57</v>
      </c>
      <c r="L6" s="34">
        <v>60</v>
      </c>
      <c r="M6" s="34">
        <v>62</v>
      </c>
      <c r="N6" s="34">
        <v>64</v>
      </c>
      <c r="O6" s="34">
        <v>66</v>
      </c>
      <c r="P6" s="34">
        <v>67</v>
      </c>
      <c r="Q6" s="34">
        <v>68</v>
      </c>
      <c r="R6" s="34">
        <v>69</v>
      </c>
      <c r="S6" s="34">
        <v>71</v>
      </c>
      <c r="T6" s="34">
        <v>71</v>
      </c>
    </row>
    <row r="7" spans="1:20" x14ac:dyDescent="0.2">
      <c r="A7" s="34">
        <v>5</v>
      </c>
      <c r="B7" s="34"/>
      <c r="C7" s="34"/>
      <c r="D7" s="34"/>
      <c r="E7" s="34">
        <v>1</v>
      </c>
      <c r="F7" s="34">
        <v>10</v>
      </c>
      <c r="G7" s="34">
        <v>18</v>
      </c>
      <c r="H7" s="34">
        <v>27</v>
      </c>
      <c r="I7" s="34">
        <v>35</v>
      </c>
      <c r="J7" s="34">
        <v>43</v>
      </c>
      <c r="K7" s="34">
        <v>47</v>
      </c>
      <c r="L7" s="34">
        <v>50</v>
      </c>
      <c r="M7" s="34">
        <v>53</v>
      </c>
      <c r="N7" s="34">
        <v>55</v>
      </c>
      <c r="O7" s="34">
        <v>57</v>
      </c>
      <c r="P7" s="34">
        <v>59</v>
      </c>
      <c r="Q7" s="34">
        <v>61</v>
      </c>
      <c r="R7" s="34">
        <v>62</v>
      </c>
      <c r="S7" s="34">
        <v>64</v>
      </c>
      <c r="T7" s="34">
        <v>65</v>
      </c>
    </row>
    <row r="8" spans="1:20" x14ac:dyDescent="0.2">
      <c r="A8" s="34">
        <v>6</v>
      </c>
      <c r="B8" s="34"/>
      <c r="C8" s="34"/>
      <c r="F8" s="34">
        <v>1</v>
      </c>
      <c r="G8" s="34">
        <v>9</v>
      </c>
      <c r="H8" s="34">
        <v>17</v>
      </c>
      <c r="I8" s="34">
        <v>25</v>
      </c>
      <c r="J8" s="34">
        <v>34</v>
      </c>
      <c r="K8" s="34">
        <v>38</v>
      </c>
      <c r="L8" s="34">
        <v>42</v>
      </c>
      <c r="M8" s="34">
        <v>45</v>
      </c>
      <c r="N8" s="34">
        <v>48</v>
      </c>
      <c r="O8" s="34">
        <v>50</v>
      </c>
      <c r="P8" s="34">
        <v>52</v>
      </c>
      <c r="Q8" s="34">
        <v>54</v>
      </c>
      <c r="R8" s="34">
        <v>56</v>
      </c>
      <c r="S8" s="34">
        <v>57</v>
      </c>
      <c r="T8" s="34">
        <v>59</v>
      </c>
    </row>
    <row r="9" spans="1:20" x14ac:dyDescent="0.2">
      <c r="A9" s="34">
        <v>7</v>
      </c>
      <c r="B9" s="34"/>
      <c r="C9" s="34"/>
      <c r="G9" s="34">
        <v>1</v>
      </c>
      <c r="H9" s="34">
        <v>9</v>
      </c>
      <c r="I9" s="34">
        <v>17</v>
      </c>
      <c r="J9" s="34">
        <v>25</v>
      </c>
      <c r="K9" s="34">
        <v>30</v>
      </c>
      <c r="L9" s="34">
        <v>34</v>
      </c>
      <c r="M9" s="34">
        <v>37</v>
      </c>
      <c r="N9" s="34">
        <v>41</v>
      </c>
      <c r="O9" s="34">
        <v>43</v>
      </c>
      <c r="P9" s="34">
        <v>46</v>
      </c>
      <c r="Q9" s="34">
        <v>48</v>
      </c>
      <c r="R9" s="34">
        <v>50</v>
      </c>
      <c r="S9" s="34">
        <v>51</v>
      </c>
      <c r="T9" s="34">
        <v>53</v>
      </c>
    </row>
    <row r="10" spans="1:20" x14ac:dyDescent="0.2">
      <c r="A10" s="34">
        <v>8</v>
      </c>
      <c r="B10" s="34"/>
      <c r="C10" s="34"/>
      <c r="H10" s="34">
        <v>1</v>
      </c>
      <c r="I10" s="34">
        <v>9</v>
      </c>
      <c r="J10" s="34">
        <v>16</v>
      </c>
      <c r="K10" s="34">
        <v>22</v>
      </c>
      <c r="L10" s="34">
        <v>27</v>
      </c>
      <c r="M10" s="34">
        <v>31</v>
      </c>
      <c r="N10" s="34">
        <v>34</v>
      </c>
      <c r="O10" s="34">
        <v>37</v>
      </c>
      <c r="P10" s="34">
        <v>40</v>
      </c>
      <c r="Q10" s="34">
        <v>42</v>
      </c>
      <c r="R10" s="34">
        <v>44</v>
      </c>
      <c r="S10" s="34">
        <v>46</v>
      </c>
      <c r="T10" s="34">
        <v>48</v>
      </c>
    </row>
    <row r="11" spans="1:20" x14ac:dyDescent="0.2">
      <c r="A11" s="34">
        <v>9</v>
      </c>
      <c r="B11" s="34"/>
      <c r="C11" s="34"/>
      <c r="I11" s="34">
        <v>1</v>
      </c>
      <c r="J11" s="34">
        <v>8</v>
      </c>
      <c r="K11" s="34">
        <v>15</v>
      </c>
      <c r="L11" s="34">
        <v>20</v>
      </c>
      <c r="M11" s="34">
        <v>24</v>
      </c>
      <c r="N11" s="34">
        <v>28</v>
      </c>
      <c r="O11" s="34">
        <v>31</v>
      </c>
      <c r="P11" s="34">
        <v>34</v>
      </c>
      <c r="Q11" s="34">
        <v>37</v>
      </c>
      <c r="R11" s="34">
        <v>39</v>
      </c>
      <c r="S11" s="34">
        <v>41</v>
      </c>
      <c r="T11" s="34">
        <v>43</v>
      </c>
    </row>
    <row r="12" spans="1:20" x14ac:dyDescent="0.2">
      <c r="A12" s="34">
        <v>10</v>
      </c>
      <c r="B12" s="34"/>
      <c r="C12" s="34"/>
      <c r="J12" s="34">
        <v>1</v>
      </c>
      <c r="K12" s="34">
        <v>8</v>
      </c>
      <c r="L12" s="34">
        <v>13</v>
      </c>
      <c r="M12" s="34">
        <v>18</v>
      </c>
      <c r="N12" s="34">
        <v>22</v>
      </c>
      <c r="O12" s="34">
        <v>25</v>
      </c>
      <c r="P12" s="34">
        <v>29</v>
      </c>
      <c r="Q12" s="34">
        <v>31</v>
      </c>
      <c r="R12" s="34">
        <v>34</v>
      </c>
      <c r="S12" s="34">
        <v>36</v>
      </c>
      <c r="T12" s="34">
        <v>38</v>
      </c>
    </row>
    <row r="13" spans="1:20" x14ac:dyDescent="0.2">
      <c r="A13" s="34">
        <v>11</v>
      </c>
      <c r="B13" s="34"/>
      <c r="C13" s="34"/>
      <c r="K13" s="34">
        <v>1</v>
      </c>
      <c r="L13" s="34">
        <v>7</v>
      </c>
      <c r="M13" s="34">
        <v>12</v>
      </c>
      <c r="N13" s="34">
        <v>16</v>
      </c>
      <c r="O13" s="34">
        <v>20</v>
      </c>
      <c r="P13" s="34">
        <v>24</v>
      </c>
      <c r="Q13" s="34">
        <v>27</v>
      </c>
      <c r="R13" s="34">
        <v>29</v>
      </c>
      <c r="S13" s="34">
        <v>32</v>
      </c>
      <c r="T13" s="34">
        <v>34</v>
      </c>
    </row>
    <row r="14" spans="1:20" x14ac:dyDescent="0.2">
      <c r="A14" s="34">
        <v>12</v>
      </c>
      <c r="B14" s="34"/>
      <c r="C14" s="34"/>
      <c r="L14" s="34">
        <v>1</v>
      </c>
      <c r="M14" s="34">
        <v>6</v>
      </c>
      <c r="N14" s="34">
        <v>11</v>
      </c>
      <c r="O14" s="34">
        <v>15</v>
      </c>
      <c r="P14" s="34">
        <v>19</v>
      </c>
      <c r="Q14" s="34">
        <v>22</v>
      </c>
      <c r="R14" s="34">
        <v>25</v>
      </c>
      <c r="S14" s="34">
        <v>27</v>
      </c>
      <c r="T14" s="34">
        <v>30</v>
      </c>
    </row>
    <row r="15" spans="1:20" x14ac:dyDescent="0.2">
      <c r="A15" s="34">
        <v>13</v>
      </c>
      <c r="B15" s="34"/>
      <c r="C15" s="34"/>
      <c r="M15" s="34">
        <v>1</v>
      </c>
      <c r="N15" s="34">
        <v>6</v>
      </c>
      <c r="O15" s="34">
        <v>10</v>
      </c>
      <c r="P15" s="34">
        <v>14</v>
      </c>
      <c r="Q15" s="34">
        <v>17</v>
      </c>
      <c r="R15" s="34">
        <v>20</v>
      </c>
      <c r="S15" s="34">
        <v>23</v>
      </c>
      <c r="T15" s="34">
        <v>26</v>
      </c>
    </row>
    <row r="16" spans="1:20" x14ac:dyDescent="0.2">
      <c r="A16" s="34">
        <v>14</v>
      </c>
      <c r="B16" s="34"/>
      <c r="C16" s="34"/>
      <c r="N16" s="34">
        <v>1</v>
      </c>
      <c r="O16" s="34">
        <v>6</v>
      </c>
      <c r="P16" s="34">
        <v>10</v>
      </c>
      <c r="Q16" s="34">
        <v>13</v>
      </c>
      <c r="R16" s="34">
        <v>16</v>
      </c>
      <c r="S16" s="34">
        <v>19</v>
      </c>
      <c r="T16" s="34">
        <v>22</v>
      </c>
    </row>
    <row r="17" spans="1:20" x14ac:dyDescent="0.2">
      <c r="A17" s="34">
        <v>15</v>
      </c>
      <c r="B17" s="34"/>
      <c r="C17" s="34"/>
      <c r="O17" s="34">
        <v>1</v>
      </c>
      <c r="P17" s="34">
        <v>5</v>
      </c>
      <c r="Q17" s="34">
        <v>9</v>
      </c>
      <c r="R17" s="34">
        <v>12</v>
      </c>
      <c r="S17" s="34">
        <v>15</v>
      </c>
      <c r="T17" s="34">
        <v>18</v>
      </c>
    </row>
    <row r="18" spans="1:20" x14ac:dyDescent="0.2">
      <c r="A18" s="34">
        <v>16</v>
      </c>
      <c r="B18" s="34"/>
      <c r="C18" s="34"/>
      <c r="P18" s="34">
        <v>1</v>
      </c>
      <c r="Q18" s="34">
        <v>5</v>
      </c>
      <c r="R18" s="34">
        <v>8</v>
      </c>
      <c r="S18" s="34">
        <v>12</v>
      </c>
      <c r="T18" s="34">
        <v>14</v>
      </c>
    </row>
    <row r="19" spans="1:20" x14ac:dyDescent="0.2">
      <c r="A19" s="34">
        <v>17</v>
      </c>
      <c r="B19" s="34"/>
      <c r="C19" s="34"/>
      <c r="Q19" s="34">
        <v>1</v>
      </c>
      <c r="R19" s="34">
        <v>5</v>
      </c>
      <c r="S19" s="34">
        <v>8</v>
      </c>
      <c r="T19" s="34">
        <v>11</v>
      </c>
    </row>
    <row r="20" spans="1:20" x14ac:dyDescent="0.2">
      <c r="A20" s="34">
        <v>18</v>
      </c>
      <c r="B20" s="34"/>
      <c r="C20" s="34"/>
      <c r="R20" s="34">
        <v>1</v>
      </c>
      <c r="S20" s="34">
        <v>4</v>
      </c>
      <c r="T20" s="34">
        <v>8</v>
      </c>
    </row>
    <row r="21" spans="1:20" x14ac:dyDescent="0.2">
      <c r="A21" s="34">
        <v>19</v>
      </c>
      <c r="B21" s="34"/>
      <c r="C21" s="34"/>
      <c r="S21" s="34">
        <v>1</v>
      </c>
      <c r="T21" s="34">
        <v>4</v>
      </c>
    </row>
    <row r="22" spans="1:20" x14ac:dyDescent="0.2">
      <c r="A22" s="34">
        <v>20</v>
      </c>
      <c r="B22" s="34"/>
      <c r="C22" s="34"/>
      <c r="T22" s="34">
        <v>1</v>
      </c>
    </row>
  </sheetData>
  <mergeCells count="1">
    <mergeCell ref="B1:T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98"/>
  <sheetViews>
    <sheetView topLeftCell="A3" workbookViewId="0">
      <selection activeCell="H8" sqref="H8"/>
    </sheetView>
  </sheetViews>
  <sheetFormatPr defaultRowHeight="12.75" x14ac:dyDescent="0.2"/>
  <cols>
    <col min="2" max="2" width="18.28515625" bestFit="1" customWidth="1"/>
    <col min="3" max="3" width="14.7109375" bestFit="1" customWidth="1"/>
    <col min="4" max="4" width="5.85546875" bestFit="1" customWidth="1"/>
    <col min="5" max="5" width="19.140625" bestFit="1" customWidth="1"/>
    <col min="6" max="6" width="14" bestFit="1" customWidth="1"/>
    <col min="8" max="8" width="10.28515625" bestFit="1" customWidth="1"/>
  </cols>
  <sheetData>
    <row r="1" spans="1:8" ht="31.5" x14ac:dyDescent="0.2">
      <c r="A1" s="32"/>
      <c r="B1" s="102" t="s">
        <v>33</v>
      </c>
      <c r="C1" s="102" t="s">
        <v>34</v>
      </c>
      <c r="D1" s="102" t="s">
        <v>35</v>
      </c>
      <c r="E1" s="102" t="s">
        <v>36</v>
      </c>
      <c r="F1" s="106" t="s">
        <v>111</v>
      </c>
    </row>
    <row r="2" spans="1:8" ht="20.25" x14ac:dyDescent="0.3">
      <c r="A2" s="32">
        <v>1</v>
      </c>
      <c r="B2" s="103" t="s">
        <v>77</v>
      </c>
      <c r="C2" s="103" t="s">
        <v>78</v>
      </c>
      <c r="D2" s="104">
        <v>1</v>
      </c>
      <c r="E2" s="103">
        <v>2000</v>
      </c>
      <c r="F2" s="105"/>
      <c r="H2" s="107"/>
    </row>
    <row r="3" spans="1:8" ht="20.25" x14ac:dyDescent="0.3">
      <c r="A3" s="32">
        <v>2</v>
      </c>
      <c r="B3" s="103" t="s">
        <v>63</v>
      </c>
      <c r="C3" s="103" t="s">
        <v>64</v>
      </c>
      <c r="D3" s="104">
        <v>2</v>
      </c>
      <c r="E3" s="103">
        <v>2000</v>
      </c>
      <c r="F3" s="105" t="s">
        <v>112</v>
      </c>
    </row>
    <row r="4" spans="1:8" ht="20.25" x14ac:dyDescent="0.3">
      <c r="A4" s="32">
        <v>3</v>
      </c>
      <c r="B4" s="103" t="s">
        <v>37</v>
      </c>
      <c r="C4" s="103" t="s">
        <v>38</v>
      </c>
      <c r="D4" s="104">
        <v>3</v>
      </c>
      <c r="E4" s="103" t="s">
        <v>73</v>
      </c>
      <c r="F4" s="105" t="s">
        <v>112</v>
      </c>
    </row>
    <row r="5" spans="1:8" ht="20.25" x14ac:dyDescent="0.3">
      <c r="A5" s="32">
        <v>4</v>
      </c>
      <c r="B5" s="103" t="s">
        <v>67</v>
      </c>
      <c r="C5" s="103" t="s">
        <v>68</v>
      </c>
      <c r="D5" s="104">
        <v>4</v>
      </c>
      <c r="E5" s="103" t="s">
        <v>73</v>
      </c>
      <c r="F5" s="105" t="s">
        <v>112</v>
      </c>
    </row>
    <row r="6" spans="1:8" ht="20.25" x14ac:dyDescent="0.3">
      <c r="A6" s="32">
        <v>5</v>
      </c>
      <c r="B6" s="103" t="s">
        <v>62</v>
      </c>
      <c r="C6" s="103" t="s">
        <v>38</v>
      </c>
      <c r="D6" s="104">
        <v>5</v>
      </c>
      <c r="E6" s="103">
        <v>2000</v>
      </c>
      <c r="F6" s="105" t="s">
        <v>112</v>
      </c>
    </row>
    <row r="7" spans="1:8" ht="20.25" x14ac:dyDescent="0.3">
      <c r="A7" s="32">
        <v>6</v>
      </c>
      <c r="B7" s="103" t="s">
        <v>75</v>
      </c>
      <c r="C7" s="103" t="s">
        <v>76</v>
      </c>
      <c r="D7" s="104">
        <v>6</v>
      </c>
      <c r="E7" s="103">
        <v>2000</v>
      </c>
      <c r="F7" s="105" t="s">
        <v>113</v>
      </c>
    </row>
    <row r="8" spans="1:8" ht="20.25" x14ac:dyDescent="0.3">
      <c r="A8" s="32">
        <v>7</v>
      </c>
      <c r="B8" s="103" t="s">
        <v>39</v>
      </c>
      <c r="C8" s="103" t="s">
        <v>40</v>
      </c>
      <c r="D8" s="104">
        <v>7</v>
      </c>
      <c r="E8" s="103" t="s">
        <v>73</v>
      </c>
      <c r="F8" s="105" t="s">
        <v>112</v>
      </c>
    </row>
    <row r="9" spans="1:8" ht="20.25" x14ac:dyDescent="0.3">
      <c r="A9" s="32">
        <v>8</v>
      </c>
      <c r="B9" s="103" t="s">
        <v>41</v>
      </c>
      <c r="C9" s="103" t="s">
        <v>74</v>
      </c>
      <c r="D9" s="104">
        <v>8</v>
      </c>
      <c r="E9" s="103" t="s">
        <v>73</v>
      </c>
      <c r="F9" s="105" t="s">
        <v>112</v>
      </c>
    </row>
    <row r="10" spans="1:8" ht="0.75" hidden="1" customHeight="1" x14ac:dyDescent="0.3">
      <c r="A10" s="32"/>
      <c r="B10" s="103"/>
      <c r="C10" s="103"/>
      <c r="D10" s="104"/>
      <c r="E10" s="103"/>
      <c r="F10" s="105"/>
    </row>
    <row r="11" spans="1:8" ht="20.25" x14ac:dyDescent="0.3">
      <c r="A11" s="32">
        <v>9</v>
      </c>
      <c r="B11" s="103" t="s">
        <v>59</v>
      </c>
      <c r="C11" s="103" t="s">
        <v>60</v>
      </c>
      <c r="D11" s="104">
        <v>10</v>
      </c>
      <c r="E11" s="103">
        <v>2000</v>
      </c>
      <c r="F11" s="105" t="s">
        <v>113</v>
      </c>
    </row>
    <row r="12" spans="1:8" ht="0.75" hidden="1" customHeight="1" x14ac:dyDescent="0.3">
      <c r="A12" s="32"/>
      <c r="B12" s="103"/>
      <c r="C12" s="103"/>
      <c r="D12" s="104"/>
      <c r="E12" s="103"/>
      <c r="F12" s="105"/>
    </row>
    <row r="13" spans="1:8" ht="20.25" x14ac:dyDescent="0.3">
      <c r="A13" s="32">
        <v>10</v>
      </c>
      <c r="B13" s="103" t="s">
        <v>69</v>
      </c>
      <c r="C13" s="103" t="s">
        <v>70</v>
      </c>
      <c r="D13" s="104">
        <v>12</v>
      </c>
      <c r="E13" s="103" t="s">
        <v>73</v>
      </c>
      <c r="F13" s="105" t="s">
        <v>112</v>
      </c>
      <c r="H13" s="71"/>
    </row>
    <row r="14" spans="1:8" ht="20.25" x14ac:dyDescent="0.3">
      <c r="A14" s="32">
        <v>11</v>
      </c>
      <c r="B14" s="103" t="s">
        <v>58</v>
      </c>
      <c r="C14" s="103" t="s">
        <v>45</v>
      </c>
      <c r="D14" s="104">
        <v>13</v>
      </c>
      <c r="E14" s="103">
        <v>2000</v>
      </c>
      <c r="F14" s="105" t="s">
        <v>113</v>
      </c>
    </row>
    <row r="15" spans="1:8" ht="20.25" x14ac:dyDescent="0.3">
      <c r="A15" s="32">
        <v>12</v>
      </c>
      <c r="B15" s="103" t="s">
        <v>42</v>
      </c>
      <c r="C15" s="103" t="s">
        <v>43</v>
      </c>
      <c r="D15" s="104">
        <v>14</v>
      </c>
      <c r="E15" s="103" t="s">
        <v>73</v>
      </c>
      <c r="F15" s="105" t="s">
        <v>112</v>
      </c>
    </row>
    <row r="16" spans="1:8" ht="20.25" x14ac:dyDescent="0.3">
      <c r="A16" s="32">
        <v>13</v>
      </c>
      <c r="B16" s="103" t="s">
        <v>44</v>
      </c>
      <c r="C16" s="103" t="s">
        <v>45</v>
      </c>
      <c r="D16" s="104">
        <v>15</v>
      </c>
      <c r="E16" s="103" t="s">
        <v>73</v>
      </c>
      <c r="F16" s="105" t="s">
        <v>112</v>
      </c>
    </row>
    <row r="17" spans="1:6" ht="20.25" x14ac:dyDescent="0.3">
      <c r="A17" s="32">
        <v>14</v>
      </c>
      <c r="B17" s="103" t="s">
        <v>79</v>
      </c>
      <c r="C17" s="103" t="s">
        <v>80</v>
      </c>
      <c r="D17" s="104"/>
      <c r="E17" s="103" t="s">
        <v>73</v>
      </c>
      <c r="F17" s="105"/>
    </row>
    <row r="18" spans="1:6" ht="20.25" hidden="1" x14ac:dyDescent="0.3">
      <c r="A18" s="32"/>
      <c r="B18" s="103"/>
      <c r="C18" s="103"/>
      <c r="D18" s="104"/>
      <c r="E18" s="103"/>
      <c r="F18" s="105"/>
    </row>
    <row r="19" spans="1:6" ht="20.25" hidden="1" x14ac:dyDescent="0.3">
      <c r="A19" s="32"/>
      <c r="B19" s="103"/>
      <c r="C19" s="103"/>
      <c r="D19" s="104"/>
      <c r="E19" s="103"/>
      <c r="F19" s="105"/>
    </row>
    <row r="20" spans="1:6" ht="20.25" x14ac:dyDescent="0.3">
      <c r="A20" s="32">
        <v>15</v>
      </c>
      <c r="B20" s="103" t="s">
        <v>81</v>
      </c>
      <c r="C20" s="103" t="s">
        <v>82</v>
      </c>
      <c r="D20" s="104">
        <v>19</v>
      </c>
      <c r="E20" s="103" t="s">
        <v>73</v>
      </c>
      <c r="F20" s="105" t="s">
        <v>112</v>
      </c>
    </row>
    <row r="21" spans="1:6" ht="20.25" hidden="1" x14ac:dyDescent="0.3">
      <c r="A21" s="32"/>
      <c r="B21" s="103"/>
      <c r="C21" s="103"/>
      <c r="D21" s="104"/>
      <c r="E21" s="103"/>
      <c r="F21" s="105"/>
    </row>
    <row r="22" spans="1:6" ht="20.25" hidden="1" x14ac:dyDescent="0.3">
      <c r="A22" s="32"/>
      <c r="B22" s="103"/>
      <c r="C22" s="103"/>
      <c r="D22" s="104"/>
      <c r="E22" s="103"/>
      <c r="F22" s="105"/>
    </row>
    <row r="23" spans="1:6" ht="20.25" hidden="1" x14ac:dyDescent="0.3">
      <c r="A23" s="32"/>
      <c r="B23" s="103"/>
      <c r="C23" s="103"/>
      <c r="D23" s="104"/>
      <c r="E23" s="103"/>
      <c r="F23" s="105"/>
    </row>
    <row r="24" spans="1:6" ht="20.25" hidden="1" x14ac:dyDescent="0.3">
      <c r="A24" s="32"/>
      <c r="B24" s="103"/>
      <c r="C24" s="103"/>
      <c r="D24" s="104"/>
      <c r="E24" s="103"/>
      <c r="F24" s="105"/>
    </row>
    <row r="25" spans="1:6" ht="20.25" hidden="1" x14ac:dyDescent="0.3">
      <c r="A25" s="32"/>
      <c r="B25" s="103"/>
      <c r="C25" s="103"/>
      <c r="D25" s="104"/>
      <c r="E25" s="103"/>
      <c r="F25" s="105"/>
    </row>
    <row r="26" spans="1:6" ht="20.25" x14ac:dyDescent="0.3">
      <c r="A26" s="32">
        <v>16</v>
      </c>
      <c r="B26" s="103" t="s">
        <v>46</v>
      </c>
      <c r="C26" s="103" t="s">
        <v>47</v>
      </c>
      <c r="D26" s="104">
        <v>25</v>
      </c>
      <c r="E26" s="103" t="s">
        <v>73</v>
      </c>
      <c r="F26" s="105" t="s">
        <v>112</v>
      </c>
    </row>
    <row r="27" spans="1:6" ht="20.25" x14ac:dyDescent="0.3">
      <c r="A27" s="32">
        <v>17</v>
      </c>
      <c r="B27" s="103" t="s">
        <v>48</v>
      </c>
      <c r="C27" s="103" t="s">
        <v>49</v>
      </c>
      <c r="D27" s="104">
        <v>26</v>
      </c>
      <c r="E27" s="103" t="s">
        <v>73</v>
      </c>
      <c r="F27" s="105" t="s">
        <v>112</v>
      </c>
    </row>
    <row r="28" spans="1:6" ht="20.25" hidden="1" x14ac:dyDescent="0.3">
      <c r="A28" s="32"/>
      <c r="B28" s="103"/>
      <c r="C28" s="103"/>
      <c r="D28" s="104"/>
      <c r="E28" s="103"/>
      <c r="F28" s="105"/>
    </row>
    <row r="29" spans="1:6" ht="20.25" hidden="1" x14ac:dyDescent="0.3">
      <c r="A29" s="32"/>
      <c r="B29" s="103"/>
      <c r="C29" s="103"/>
      <c r="D29" s="104"/>
      <c r="E29" s="103"/>
      <c r="F29" s="105"/>
    </row>
    <row r="30" spans="1:6" ht="20.25" hidden="1" x14ac:dyDescent="0.3">
      <c r="A30" s="32"/>
      <c r="B30" s="103"/>
      <c r="C30" s="103"/>
      <c r="D30" s="104"/>
      <c r="E30" s="103"/>
      <c r="F30" s="105"/>
    </row>
    <row r="31" spans="1:6" ht="20.25" hidden="1" x14ac:dyDescent="0.3">
      <c r="A31" s="32"/>
      <c r="B31" s="103"/>
      <c r="C31" s="103"/>
      <c r="D31" s="104"/>
      <c r="E31" s="103"/>
      <c r="F31" s="105"/>
    </row>
    <row r="32" spans="1:6" ht="20.25" hidden="1" x14ac:dyDescent="0.3">
      <c r="A32" s="32"/>
      <c r="B32" s="103"/>
      <c r="C32" s="103"/>
      <c r="D32" s="104"/>
      <c r="E32" s="103"/>
      <c r="F32" s="105"/>
    </row>
    <row r="33" spans="1:6" ht="20.25" hidden="1" x14ac:dyDescent="0.3">
      <c r="A33" s="32"/>
      <c r="B33" s="103"/>
      <c r="C33" s="103"/>
      <c r="D33" s="104"/>
      <c r="E33" s="103"/>
      <c r="F33" s="105"/>
    </row>
    <row r="34" spans="1:6" ht="20.25" hidden="1" x14ac:dyDescent="0.3">
      <c r="A34" s="32"/>
      <c r="B34" s="103"/>
      <c r="C34" s="103"/>
      <c r="D34" s="104"/>
      <c r="E34" s="103"/>
      <c r="F34" s="105"/>
    </row>
    <row r="35" spans="1:6" ht="20.25" hidden="1" x14ac:dyDescent="0.3">
      <c r="A35" s="32"/>
      <c r="B35" s="103"/>
      <c r="C35" s="103"/>
      <c r="D35" s="104"/>
      <c r="E35" s="103"/>
      <c r="F35" s="105"/>
    </row>
    <row r="36" spans="1:6" ht="20.25" x14ac:dyDescent="0.3">
      <c r="A36" s="32">
        <v>18</v>
      </c>
      <c r="B36" s="103" t="s">
        <v>50</v>
      </c>
      <c r="C36" s="103" t="s">
        <v>51</v>
      </c>
      <c r="D36" s="104">
        <v>35</v>
      </c>
      <c r="E36" s="103" t="s">
        <v>73</v>
      </c>
      <c r="F36" s="105" t="s">
        <v>112</v>
      </c>
    </row>
    <row r="37" spans="1:6" ht="20.25" hidden="1" x14ac:dyDescent="0.3">
      <c r="A37" s="32"/>
      <c r="B37" s="103"/>
      <c r="C37" s="103"/>
      <c r="D37" s="104"/>
      <c r="E37" s="103"/>
      <c r="F37" s="105"/>
    </row>
    <row r="38" spans="1:6" ht="20.25" hidden="1" x14ac:dyDescent="0.3">
      <c r="A38" s="32"/>
      <c r="B38" s="103"/>
      <c r="C38" s="103"/>
      <c r="D38" s="104"/>
      <c r="E38" s="103"/>
      <c r="F38" s="105"/>
    </row>
    <row r="39" spans="1:6" ht="20.25" hidden="1" x14ac:dyDescent="0.3">
      <c r="A39" s="32"/>
      <c r="B39" s="103"/>
      <c r="C39" s="103"/>
      <c r="D39" s="104"/>
      <c r="E39" s="103"/>
      <c r="F39" s="105"/>
    </row>
    <row r="40" spans="1:6" ht="20.25" x14ac:dyDescent="0.3">
      <c r="A40" s="32">
        <v>19</v>
      </c>
      <c r="B40" s="103" t="s">
        <v>52</v>
      </c>
      <c r="C40" s="103" t="s">
        <v>53</v>
      </c>
      <c r="D40" s="104">
        <v>39</v>
      </c>
      <c r="E40" s="103" t="s">
        <v>73</v>
      </c>
      <c r="F40" s="105" t="s">
        <v>112</v>
      </c>
    </row>
    <row r="41" spans="1:6" ht="20.25" hidden="1" x14ac:dyDescent="0.3">
      <c r="A41" s="32"/>
      <c r="B41" s="103"/>
      <c r="C41" s="103"/>
      <c r="D41" s="104"/>
      <c r="E41" s="103"/>
      <c r="F41" s="105"/>
    </row>
    <row r="42" spans="1:6" ht="20.25" hidden="1" x14ac:dyDescent="0.3">
      <c r="A42" s="32"/>
      <c r="B42" s="103"/>
      <c r="C42" s="103"/>
      <c r="D42" s="104"/>
      <c r="E42" s="103"/>
      <c r="F42" s="105"/>
    </row>
    <row r="43" spans="1:6" ht="20.25" hidden="1" x14ac:dyDescent="0.3">
      <c r="A43" s="32"/>
      <c r="B43" s="103"/>
      <c r="C43" s="103"/>
      <c r="D43" s="104"/>
      <c r="E43" s="103"/>
      <c r="F43" s="105"/>
    </row>
    <row r="44" spans="1:6" ht="20.25" hidden="1" x14ac:dyDescent="0.3">
      <c r="A44" s="32"/>
      <c r="B44" s="103"/>
      <c r="C44" s="103"/>
      <c r="D44" s="104"/>
      <c r="E44" s="103"/>
      <c r="F44" s="105"/>
    </row>
    <row r="45" spans="1:6" ht="20.25" hidden="1" x14ac:dyDescent="0.3">
      <c r="A45" s="32"/>
      <c r="B45" s="103"/>
      <c r="C45" s="103"/>
      <c r="D45" s="104"/>
      <c r="E45" s="103"/>
      <c r="F45" s="105"/>
    </row>
    <row r="46" spans="1:6" ht="20.25" hidden="1" x14ac:dyDescent="0.3">
      <c r="A46" s="32"/>
      <c r="B46" s="103"/>
      <c r="C46" s="103"/>
      <c r="D46" s="104"/>
      <c r="E46" s="103"/>
      <c r="F46" s="105"/>
    </row>
    <row r="47" spans="1:6" ht="20.25" hidden="1" x14ac:dyDescent="0.3">
      <c r="A47" s="32"/>
      <c r="B47" s="103"/>
      <c r="C47" s="103"/>
      <c r="D47" s="104"/>
      <c r="E47" s="103"/>
      <c r="F47" s="105"/>
    </row>
    <row r="48" spans="1:6" ht="20.25" hidden="1" x14ac:dyDescent="0.3">
      <c r="A48" s="32"/>
      <c r="B48" s="103"/>
      <c r="C48" s="103"/>
      <c r="D48" s="104"/>
      <c r="E48" s="103"/>
      <c r="F48" s="105"/>
    </row>
    <row r="49" spans="1:6" ht="20.25" hidden="1" x14ac:dyDescent="0.3">
      <c r="A49" s="32"/>
      <c r="B49" s="103"/>
      <c r="C49" s="103"/>
      <c r="D49" s="104"/>
      <c r="E49" s="103"/>
      <c r="F49" s="105"/>
    </row>
    <row r="50" spans="1:6" ht="20.25" hidden="1" x14ac:dyDescent="0.3">
      <c r="A50" s="32"/>
      <c r="B50" s="103"/>
      <c r="C50" s="103"/>
      <c r="D50" s="104"/>
      <c r="E50" s="103"/>
      <c r="F50" s="105"/>
    </row>
    <row r="51" spans="1:6" ht="20.25" hidden="1" x14ac:dyDescent="0.3">
      <c r="A51" s="32"/>
      <c r="B51" s="103"/>
      <c r="C51" s="103"/>
      <c r="D51" s="104"/>
      <c r="E51" s="103"/>
      <c r="F51" s="105"/>
    </row>
    <row r="52" spans="1:6" ht="20.25" hidden="1" x14ac:dyDescent="0.3">
      <c r="A52" s="32"/>
      <c r="B52" s="103"/>
      <c r="C52" s="103"/>
      <c r="D52" s="104"/>
      <c r="E52" s="103"/>
      <c r="F52" s="105"/>
    </row>
    <row r="53" spans="1:6" ht="20.25" hidden="1" x14ac:dyDescent="0.3">
      <c r="A53" s="32"/>
      <c r="B53" s="103"/>
      <c r="C53" s="103"/>
      <c r="D53" s="104"/>
      <c r="E53" s="103"/>
      <c r="F53" s="105"/>
    </row>
    <row r="54" spans="1:6" ht="20.25" hidden="1" x14ac:dyDescent="0.3">
      <c r="A54" s="32"/>
      <c r="B54" s="103"/>
      <c r="C54" s="103"/>
      <c r="D54" s="104"/>
      <c r="E54" s="103"/>
      <c r="F54" s="105"/>
    </row>
    <row r="55" spans="1:6" ht="20.25" hidden="1" x14ac:dyDescent="0.3">
      <c r="A55" s="32"/>
      <c r="B55" s="103"/>
      <c r="C55" s="103"/>
      <c r="D55" s="104"/>
      <c r="E55" s="103"/>
      <c r="F55" s="105"/>
    </row>
    <row r="56" spans="1:6" ht="20.25" x14ac:dyDescent="0.3">
      <c r="A56" s="32">
        <v>20</v>
      </c>
      <c r="B56" s="103" t="s">
        <v>83</v>
      </c>
      <c r="C56" s="103" t="s">
        <v>49</v>
      </c>
      <c r="D56" s="104">
        <v>55</v>
      </c>
      <c r="E56" s="103" t="s">
        <v>73</v>
      </c>
      <c r="F56" s="105" t="s">
        <v>112</v>
      </c>
    </row>
    <row r="57" spans="1:6" ht="0.75" hidden="1" customHeight="1" x14ac:dyDescent="0.3">
      <c r="A57" s="32"/>
      <c r="B57" s="103"/>
      <c r="C57" s="103"/>
      <c r="D57" s="104"/>
      <c r="E57" s="103"/>
      <c r="F57" s="105"/>
    </row>
    <row r="58" spans="1:6" ht="20.25" hidden="1" x14ac:dyDescent="0.3">
      <c r="A58" s="32"/>
      <c r="B58" s="103"/>
      <c r="C58" s="103"/>
      <c r="D58" s="104"/>
      <c r="E58" s="103"/>
      <c r="F58" s="105"/>
    </row>
    <row r="59" spans="1:6" ht="20.25" hidden="1" x14ac:dyDescent="0.3">
      <c r="A59" s="32"/>
      <c r="B59" s="103"/>
      <c r="C59" s="103"/>
      <c r="D59" s="104"/>
      <c r="E59" s="103"/>
      <c r="F59" s="105"/>
    </row>
    <row r="60" spans="1:6" ht="20.25" hidden="1" x14ac:dyDescent="0.3">
      <c r="A60" s="32"/>
      <c r="B60" s="103"/>
      <c r="C60" s="103"/>
      <c r="D60" s="104"/>
      <c r="E60" s="103"/>
      <c r="F60" s="105"/>
    </row>
    <row r="61" spans="1:6" ht="20.25" hidden="1" x14ac:dyDescent="0.3">
      <c r="A61" s="32"/>
      <c r="B61" s="103"/>
      <c r="C61" s="103"/>
      <c r="D61" s="104"/>
      <c r="E61" s="103"/>
      <c r="F61" s="105"/>
    </row>
    <row r="62" spans="1:6" ht="20.25" hidden="1" x14ac:dyDescent="0.3">
      <c r="A62" s="32"/>
      <c r="B62" s="103"/>
      <c r="C62" s="103"/>
      <c r="D62" s="104"/>
      <c r="E62" s="103"/>
      <c r="F62" s="105"/>
    </row>
    <row r="63" spans="1:6" ht="20.25" hidden="1" x14ac:dyDescent="0.3">
      <c r="A63" s="32"/>
      <c r="B63" s="103"/>
      <c r="C63" s="103"/>
      <c r="D63" s="104"/>
      <c r="E63" s="103"/>
      <c r="F63" s="105"/>
    </row>
    <row r="64" spans="1:6" ht="20.25" x14ac:dyDescent="0.3">
      <c r="A64" s="32">
        <v>21</v>
      </c>
      <c r="B64" s="103" t="s">
        <v>54</v>
      </c>
      <c r="C64" s="103" t="s">
        <v>43</v>
      </c>
      <c r="D64" s="104">
        <v>63</v>
      </c>
      <c r="E64" s="103" t="s">
        <v>73</v>
      </c>
      <c r="F64" s="105" t="s">
        <v>112</v>
      </c>
    </row>
    <row r="65" spans="1:6" ht="20.25" hidden="1" x14ac:dyDescent="0.3">
      <c r="A65" s="32"/>
      <c r="B65" s="103"/>
      <c r="C65" s="103"/>
      <c r="D65" s="104"/>
      <c r="E65" s="103"/>
      <c r="F65" s="105"/>
    </row>
    <row r="66" spans="1:6" ht="20.25" hidden="1" x14ac:dyDescent="0.3">
      <c r="A66" s="32"/>
      <c r="B66" s="103"/>
      <c r="C66" s="103"/>
      <c r="D66" s="104"/>
      <c r="E66" s="103"/>
      <c r="F66" s="105"/>
    </row>
    <row r="67" spans="1:6" ht="20.25" hidden="1" x14ac:dyDescent="0.3">
      <c r="A67" s="32"/>
      <c r="B67" s="103"/>
      <c r="C67" s="103"/>
      <c r="D67" s="104"/>
      <c r="E67" s="103"/>
      <c r="F67" s="105"/>
    </row>
    <row r="68" spans="1:6" ht="20.25" hidden="1" x14ac:dyDescent="0.3">
      <c r="A68" s="32"/>
      <c r="B68" s="103"/>
      <c r="C68" s="103"/>
      <c r="D68" s="104"/>
      <c r="E68" s="103"/>
      <c r="F68" s="105"/>
    </row>
    <row r="69" spans="1:6" ht="20.25" hidden="1" x14ac:dyDescent="0.3">
      <c r="A69" s="32"/>
      <c r="B69" s="103"/>
      <c r="C69" s="103"/>
      <c r="D69" s="104"/>
      <c r="E69" s="103"/>
      <c r="F69" s="105"/>
    </row>
    <row r="70" spans="1:6" ht="20.25" hidden="1" x14ac:dyDescent="0.3">
      <c r="A70" s="32"/>
      <c r="B70" s="103"/>
      <c r="C70" s="103"/>
      <c r="D70" s="104"/>
      <c r="E70" s="103"/>
      <c r="F70" s="105"/>
    </row>
    <row r="71" spans="1:6" ht="20.25" hidden="1" x14ac:dyDescent="0.3">
      <c r="A71" s="32"/>
      <c r="B71" s="103"/>
      <c r="C71" s="103"/>
      <c r="D71" s="104"/>
      <c r="E71" s="103"/>
      <c r="F71" s="105"/>
    </row>
    <row r="72" spans="1:6" ht="20.25" x14ac:dyDescent="0.3">
      <c r="A72" s="32">
        <v>22</v>
      </c>
      <c r="B72" s="103" t="s">
        <v>71</v>
      </c>
      <c r="C72" s="103" t="s">
        <v>72</v>
      </c>
      <c r="D72" s="104">
        <v>71</v>
      </c>
      <c r="E72" s="103" t="s">
        <v>73</v>
      </c>
      <c r="F72" s="105" t="s">
        <v>112</v>
      </c>
    </row>
    <row r="73" spans="1:6" ht="20.25" x14ac:dyDescent="0.3">
      <c r="A73" s="32">
        <v>23</v>
      </c>
      <c r="B73" s="103" t="s">
        <v>65</v>
      </c>
      <c r="C73" s="103" t="s">
        <v>66</v>
      </c>
      <c r="D73" s="104">
        <v>72</v>
      </c>
      <c r="E73" s="103" t="s">
        <v>73</v>
      </c>
      <c r="F73" s="105" t="s">
        <v>112</v>
      </c>
    </row>
    <row r="74" spans="1:6" ht="20.25" hidden="1" x14ac:dyDescent="0.3">
      <c r="A74" s="32"/>
      <c r="B74" s="103"/>
      <c r="C74" s="103"/>
      <c r="D74" s="104"/>
      <c r="E74" s="103"/>
      <c r="F74" s="105"/>
    </row>
    <row r="75" spans="1:6" ht="20.25" hidden="1" x14ac:dyDescent="0.3">
      <c r="A75" s="32"/>
      <c r="B75" s="103"/>
      <c r="C75" s="103"/>
      <c r="D75" s="104"/>
      <c r="E75" s="103"/>
      <c r="F75" s="105"/>
    </row>
    <row r="76" spans="1:6" ht="20.25" hidden="1" x14ac:dyDescent="0.3">
      <c r="A76" s="32"/>
      <c r="B76" s="103"/>
      <c r="C76" s="103"/>
      <c r="D76" s="104"/>
      <c r="E76" s="103"/>
      <c r="F76" s="105"/>
    </row>
    <row r="77" spans="1:6" ht="20.25" hidden="1" x14ac:dyDescent="0.3">
      <c r="A77" s="32"/>
      <c r="B77" s="103"/>
      <c r="C77" s="103"/>
      <c r="D77" s="104"/>
      <c r="E77" s="103"/>
      <c r="F77" s="105"/>
    </row>
    <row r="78" spans="1:6" ht="20.25" x14ac:dyDescent="0.3">
      <c r="A78" s="32">
        <v>24</v>
      </c>
      <c r="B78" s="103" t="s">
        <v>55</v>
      </c>
      <c r="C78" s="103" t="s">
        <v>45</v>
      </c>
      <c r="D78" s="104">
        <v>77</v>
      </c>
      <c r="E78" s="103" t="s">
        <v>73</v>
      </c>
      <c r="F78" s="105" t="s">
        <v>112</v>
      </c>
    </row>
    <row r="79" spans="1:6" ht="20.25" hidden="1" x14ac:dyDescent="0.3">
      <c r="A79" s="32"/>
      <c r="B79" s="103"/>
      <c r="C79" s="103"/>
      <c r="D79" s="104"/>
      <c r="E79" s="103"/>
      <c r="F79" s="105"/>
    </row>
    <row r="80" spans="1:6" ht="20.25" hidden="1" x14ac:dyDescent="0.3">
      <c r="A80" s="32"/>
      <c r="B80" s="103"/>
      <c r="C80" s="103"/>
      <c r="D80" s="104"/>
      <c r="E80" s="103"/>
      <c r="F80" s="105"/>
    </row>
    <row r="81" spans="1:6" ht="20.25" hidden="1" x14ac:dyDescent="0.3">
      <c r="A81" s="32"/>
      <c r="B81" s="103"/>
      <c r="C81" s="103"/>
      <c r="D81" s="104"/>
      <c r="E81" s="103"/>
      <c r="F81" s="105"/>
    </row>
    <row r="82" spans="1:6" ht="20.25" x14ac:dyDescent="0.3">
      <c r="A82" s="32">
        <v>25</v>
      </c>
      <c r="B82" s="103" t="s">
        <v>61</v>
      </c>
      <c r="C82" s="103" t="s">
        <v>38</v>
      </c>
      <c r="D82" s="104">
        <v>81</v>
      </c>
      <c r="E82" s="103">
        <v>2000</v>
      </c>
      <c r="F82" s="105" t="s">
        <v>113</v>
      </c>
    </row>
    <row r="83" spans="1:6" ht="20.25" hidden="1" x14ac:dyDescent="0.3">
      <c r="A83" s="32"/>
      <c r="B83" s="103"/>
      <c r="C83" s="103"/>
      <c r="D83" s="104"/>
      <c r="E83" s="103"/>
      <c r="F83" s="105"/>
    </row>
    <row r="84" spans="1:6" ht="20.25" hidden="1" x14ac:dyDescent="0.3">
      <c r="A84" s="32"/>
      <c r="B84" s="103"/>
      <c r="C84" s="103"/>
      <c r="D84" s="104"/>
      <c r="E84" s="103"/>
      <c r="F84" s="105"/>
    </row>
    <row r="85" spans="1:6" ht="20.25" hidden="1" x14ac:dyDescent="0.3">
      <c r="A85" s="32"/>
      <c r="B85" s="103"/>
      <c r="C85" s="103"/>
      <c r="D85" s="104"/>
      <c r="E85" s="103"/>
      <c r="F85" s="105"/>
    </row>
    <row r="86" spans="1:6" ht="20.25" hidden="1" x14ac:dyDescent="0.3">
      <c r="A86" s="32"/>
      <c r="B86" s="103"/>
      <c r="C86" s="103"/>
      <c r="D86" s="104"/>
      <c r="E86" s="103"/>
      <c r="F86" s="105"/>
    </row>
    <row r="87" spans="1:6" ht="20.25" hidden="1" x14ac:dyDescent="0.3">
      <c r="A87" s="32"/>
      <c r="B87" s="103"/>
      <c r="C87" s="103"/>
      <c r="D87" s="104"/>
      <c r="E87" s="103"/>
      <c r="F87" s="105"/>
    </row>
    <row r="88" spans="1:6" ht="20.25" hidden="1" x14ac:dyDescent="0.3">
      <c r="A88" s="32"/>
      <c r="B88" s="103"/>
      <c r="C88" s="103"/>
      <c r="D88" s="104"/>
      <c r="E88" s="103"/>
      <c r="F88" s="105"/>
    </row>
    <row r="89" spans="1:6" ht="20.25" x14ac:dyDescent="0.3">
      <c r="A89" s="32">
        <v>26</v>
      </c>
      <c r="B89" s="103" t="s">
        <v>56</v>
      </c>
      <c r="C89" s="103" t="s">
        <v>57</v>
      </c>
      <c r="D89" s="104">
        <v>88</v>
      </c>
      <c r="E89" s="103" t="s">
        <v>73</v>
      </c>
      <c r="F89" s="105" t="s">
        <v>112</v>
      </c>
    </row>
    <row r="90" spans="1:6" ht="20.25" hidden="1" x14ac:dyDescent="0.3">
      <c r="A90" s="32"/>
      <c r="B90" s="103"/>
      <c r="C90" s="103"/>
      <c r="D90" s="104"/>
      <c r="E90" s="103"/>
      <c r="F90" s="105"/>
    </row>
    <row r="91" spans="1:6" ht="20.25" hidden="1" x14ac:dyDescent="0.3">
      <c r="A91" s="32"/>
      <c r="B91" s="103"/>
      <c r="C91" s="103"/>
      <c r="D91" s="104"/>
      <c r="E91" s="103"/>
      <c r="F91" s="105"/>
    </row>
    <row r="92" spans="1:6" ht="20.25" hidden="1" x14ac:dyDescent="0.3">
      <c r="A92" s="32"/>
      <c r="B92" s="103"/>
      <c r="C92" s="103"/>
      <c r="D92" s="104"/>
      <c r="E92" s="103"/>
      <c r="F92" s="105"/>
    </row>
    <row r="93" spans="1:6" ht="20.25" hidden="1" x14ac:dyDescent="0.3">
      <c r="A93" s="32"/>
      <c r="B93" s="103"/>
      <c r="C93" s="103"/>
      <c r="D93" s="104"/>
      <c r="E93" s="103"/>
      <c r="F93" s="105"/>
    </row>
    <row r="94" spans="1:6" ht="20.25" hidden="1" x14ac:dyDescent="0.3">
      <c r="A94" s="32"/>
      <c r="B94" s="103"/>
      <c r="C94" s="103"/>
      <c r="D94" s="104"/>
      <c r="E94" s="103"/>
      <c r="F94" s="105"/>
    </row>
    <row r="95" spans="1:6" ht="20.25" hidden="1" x14ac:dyDescent="0.3">
      <c r="A95" s="32"/>
      <c r="B95" s="103"/>
      <c r="C95" s="103"/>
      <c r="D95" s="104"/>
      <c r="E95" s="103"/>
      <c r="F95" s="105"/>
    </row>
    <row r="96" spans="1:6" ht="20.25" hidden="1" x14ac:dyDescent="0.3">
      <c r="A96" s="32"/>
      <c r="B96" s="103"/>
      <c r="C96" s="103"/>
      <c r="D96" s="104"/>
      <c r="E96" s="103"/>
      <c r="F96" s="105"/>
    </row>
    <row r="97" spans="1:6" ht="20.25" hidden="1" x14ac:dyDescent="0.3">
      <c r="A97" s="32"/>
      <c r="B97" s="103"/>
      <c r="C97" s="103"/>
      <c r="D97" s="104"/>
      <c r="E97" s="103"/>
      <c r="F97" s="105"/>
    </row>
    <row r="98" spans="1:6" ht="20.25" x14ac:dyDescent="0.3">
      <c r="A98" s="32">
        <v>27</v>
      </c>
      <c r="B98" s="103" t="s">
        <v>84</v>
      </c>
      <c r="C98" s="103"/>
      <c r="D98" s="104">
        <v>97</v>
      </c>
      <c r="E98" s="103" t="s">
        <v>73</v>
      </c>
      <c r="F98" s="105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протокол регистрации</vt:lpstr>
      <vt:lpstr>Д2Н</vt:lpstr>
      <vt:lpstr>2000</vt:lpstr>
      <vt:lpstr>трек 16Х4</vt:lpstr>
      <vt:lpstr>трек 13Х4</vt:lpstr>
      <vt:lpstr>список победителей</vt:lpstr>
      <vt:lpstr>команды победители</vt:lpstr>
      <vt:lpstr>таблица Б</vt:lpstr>
      <vt:lpstr>база участников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Наталья Румачик</cp:lastModifiedBy>
  <cp:lastPrinted>2016-01-31T13:39:49Z</cp:lastPrinted>
  <dcterms:created xsi:type="dcterms:W3CDTF">1996-10-08T23:32:33Z</dcterms:created>
  <dcterms:modified xsi:type="dcterms:W3CDTF">2016-02-13T21:04:51Z</dcterms:modified>
</cp:coreProperties>
</file>